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60" windowHeight="6030" activeTab="0"/>
  </bookViews>
  <sheets>
    <sheet name="Intro" sheetId="1" r:id="rId1"/>
    <sheet name="Individual" sheetId="2" r:id="rId2"/>
    <sheet name="Team" sheetId="3" r:id="rId3"/>
    <sheet name="Sim" sheetId="4" r:id="rId4"/>
    <sheet name="Playbooks" sheetId="5" r:id="rId5"/>
  </sheets>
  <definedNames/>
  <calcPr fullCalcOnLoad="1"/>
</workbook>
</file>

<file path=xl/comments2.xml><?xml version="1.0" encoding="utf-8"?>
<comments xmlns="http://schemas.openxmlformats.org/spreadsheetml/2006/main">
  <authors>
    <author>Tony Stout</author>
  </authors>
  <commentList>
    <comment ref="G42" authorId="0">
      <text>
        <r>
          <rPr>
            <sz val="8"/>
            <rFont val="Tahoma"/>
            <family val="0"/>
          </rPr>
          <t xml:space="preserve">Adjust sacks until number is equal to 255.
</t>
        </r>
      </text>
    </comment>
    <comment ref="H42" authorId="0">
      <text>
        <r>
          <rPr>
            <sz val="8"/>
            <rFont val="Tahoma"/>
            <family val="2"/>
          </rPr>
          <t>Adjust INTs until number is equal to 255.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sz val="8"/>
            <rFont val="Tahoma"/>
            <family val="0"/>
          </rPr>
          <t xml:space="preserve">Input will be DT or LB depending on the type of defense used.
</t>
        </r>
      </text>
    </comment>
    <comment ref="B5" authorId="0">
      <text>
        <r>
          <rPr>
            <b/>
            <sz val="8"/>
            <rFont val="Tahoma"/>
            <family val="0"/>
          </rPr>
          <t>x27526 to x27541
Light Rushing = 00
Rushing = 01
Light Passing = 02
Passing = 03</t>
        </r>
      </text>
    </comment>
    <comment ref="D51" authorId="0">
      <text>
        <r>
          <rPr>
            <b/>
            <sz val="8"/>
            <rFont val="Tahoma"/>
            <family val="0"/>
          </rPr>
          <t>The Punt Average (not Net Average)</t>
        </r>
      </text>
    </comment>
  </commentList>
</comments>
</file>

<file path=xl/sharedStrings.xml><?xml version="1.0" encoding="utf-8"?>
<sst xmlns="http://schemas.openxmlformats.org/spreadsheetml/2006/main" count="586" uniqueCount="188">
  <si>
    <t>Team:</t>
  </si>
  <si>
    <t>Team Passes:</t>
  </si>
  <si>
    <t>Team Runs:</t>
  </si>
  <si>
    <t>QB1:</t>
  </si>
  <si>
    <t>RB1:</t>
  </si>
  <si>
    <t>RB2:</t>
  </si>
  <si>
    <t>WR1:</t>
  </si>
  <si>
    <t>WR2:</t>
  </si>
  <si>
    <t>TE1:</t>
  </si>
  <si>
    <t>Jason Witten</t>
  </si>
  <si>
    <t>Tecmo Ratio:</t>
  </si>
  <si>
    <t>Yards</t>
  </si>
  <si>
    <t>TDs</t>
  </si>
  <si>
    <t>INTs</t>
  </si>
  <si>
    <t>Att.</t>
  </si>
  <si>
    <t>Cmp.</t>
  </si>
  <si>
    <t>Runs</t>
  </si>
  <si>
    <t>PA:</t>
  </si>
  <si>
    <t>RA:</t>
  </si>
  <si>
    <t>Rec.</t>
  </si>
  <si>
    <t>CA:</t>
  </si>
  <si>
    <t>KA:</t>
  </si>
  <si>
    <t>GP&amp;Adjuster</t>
  </si>
  <si>
    <t>Unused RBs:</t>
  </si>
  <si>
    <t>Unused WRs:</t>
  </si>
  <si>
    <t>Unused TEs:</t>
  </si>
  <si>
    <t>Greg Ellis</t>
  </si>
  <si>
    <t>RE:</t>
  </si>
  <si>
    <t>NT:</t>
  </si>
  <si>
    <t>LE:</t>
  </si>
  <si>
    <t>ROLB:</t>
  </si>
  <si>
    <t>RILB/DT:</t>
  </si>
  <si>
    <t>LOLB:</t>
  </si>
  <si>
    <t>LILB:</t>
  </si>
  <si>
    <t>Roy Williams</t>
  </si>
  <si>
    <t>Terence Newman</t>
  </si>
  <si>
    <t>Unused DEs:</t>
  </si>
  <si>
    <t>Unused DTs:</t>
  </si>
  <si>
    <t>Unused LBs:</t>
  </si>
  <si>
    <t>Unused CBs:</t>
  </si>
  <si>
    <t>Unused Ss:</t>
  </si>
  <si>
    <t>Sacks</t>
  </si>
  <si>
    <t>RB3: (Bench)</t>
  </si>
  <si>
    <t>RB4: (Bench)</t>
  </si>
  <si>
    <t>QB2: (Bench)</t>
  </si>
  <si>
    <t>WR3: (Bench)</t>
  </si>
  <si>
    <t>WR4: (Bench)</t>
  </si>
  <si>
    <t>TE2: (Bench)</t>
  </si>
  <si>
    <t>Team</t>
  </si>
  <si>
    <t>Points For</t>
  </si>
  <si>
    <t>Points Allowed</t>
  </si>
  <si>
    <t>League High</t>
  </si>
  <si>
    <t>League Low</t>
  </si>
  <si>
    <t>Offense</t>
  </si>
  <si>
    <t>Defense</t>
  </si>
  <si>
    <t>P:</t>
  </si>
  <si>
    <t>PR:</t>
  </si>
  <si>
    <t>KR:</t>
  </si>
  <si>
    <t>Switch</t>
  </si>
  <si>
    <t>RCB:</t>
  </si>
  <si>
    <t>LCB:</t>
  </si>
  <si>
    <t>FS:</t>
  </si>
  <si>
    <t>SS:</t>
  </si>
  <si>
    <t>PC:</t>
  </si>
  <si>
    <t>I Formation Playbooks:</t>
  </si>
  <si>
    <t>Toss Sweep R</t>
  </si>
  <si>
    <t>T Power Dive</t>
  </si>
  <si>
    <t>T Cross Run L</t>
  </si>
  <si>
    <t>FB Power Dive</t>
  </si>
  <si>
    <t>Pro T Waggle R</t>
  </si>
  <si>
    <t>Offset Flare E</t>
  </si>
  <si>
    <t>Shotgun X Drive</t>
  </si>
  <si>
    <t>Shotgun Z S-In</t>
  </si>
  <si>
    <t>Pro T Flare C</t>
  </si>
  <si>
    <t>Shotgun C Draw</t>
  </si>
  <si>
    <t>Pro T Screen L</t>
  </si>
  <si>
    <t>Cross Offtackle</t>
  </si>
  <si>
    <t>T Offtackle R</t>
  </si>
  <si>
    <t>Play Action</t>
  </si>
  <si>
    <t>Pro T Flare D</t>
  </si>
  <si>
    <t>Pitch L Open</t>
  </si>
  <si>
    <t>X Out and Fly</t>
  </si>
  <si>
    <t>FB Offtackle L</t>
  </si>
  <si>
    <t>R&amp;S 3-Wing</t>
  </si>
  <si>
    <t>R&amp;S Sweep L</t>
  </si>
  <si>
    <t>R&amp;S Draw</t>
  </si>
  <si>
    <t>R&amp;S Sweep R</t>
  </si>
  <si>
    <t>Shotgun Sweep L</t>
  </si>
  <si>
    <t>R&amp;S Flare C</t>
  </si>
  <si>
    <t>Shotgun X Curl</t>
  </si>
  <si>
    <t>Shotgun 3-Wing</t>
  </si>
  <si>
    <t>Redgun Z Slant</t>
  </si>
  <si>
    <t>R&amp;S Z Fly</t>
  </si>
  <si>
    <t>R&amp;S QB Run</t>
  </si>
  <si>
    <t>R&amp;S Y Up</t>
  </si>
  <si>
    <t>Shotgun Draw</t>
  </si>
  <si>
    <t>R&amp;S QB Sneak</t>
  </si>
  <si>
    <t>Shotgun XY Bomb</t>
  </si>
  <si>
    <t>T Sweep Strong</t>
  </si>
  <si>
    <t>Pro T Dive</t>
  </si>
  <si>
    <t>Pro T Waggle L</t>
  </si>
  <si>
    <t>Pitch L Fake</t>
  </si>
  <si>
    <t>WR Reverse R</t>
  </si>
  <si>
    <t>Onesetback Dive</t>
  </si>
  <si>
    <t>Oneback Flare A</t>
  </si>
  <si>
    <t>Playaction Z In</t>
  </si>
  <si>
    <t>No Back X Deep</t>
  </si>
  <si>
    <t>Oneback Playbooks:</t>
  </si>
  <si>
    <t>Onesetback L</t>
  </si>
  <si>
    <t>Weakside Open</t>
  </si>
  <si>
    <t>Roll Out L</t>
  </si>
  <si>
    <t>Flea Flicker</t>
  </si>
  <si>
    <t>Pwr Fake X Fly</t>
  </si>
  <si>
    <t>Pwr Fake Z Post</t>
  </si>
  <si>
    <t>WTE Offtackle R</t>
  </si>
  <si>
    <t>WTE F-Flicker</t>
  </si>
  <si>
    <t>Reverse Pitch R</t>
  </si>
  <si>
    <t>T Play Action D</t>
  </si>
  <si>
    <t>FB Offtackle R</t>
  </si>
  <si>
    <t>Rev-Fake Z Post</t>
  </si>
  <si>
    <t>FB Open L</t>
  </si>
  <si>
    <t>Oneback Sweep R</t>
  </si>
  <si>
    <t>WR Reverse L</t>
  </si>
  <si>
    <t>Roll Out R</t>
  </si>
  <si>
    <t>Oneback Z Cross</t>
  </si>
  <si>
    <t>T Formation Playbooks:</t>
  </si>
  <si>
    <t>T Power Sweep R</t>
  </si>
  <si>
    <t>Slot Offtackle</t>
  </si>
  <si>
    <t>Slot L Z Drive</t>
  </si>
  <si>
    <t>T Flea Flicker</t>
  </si>
  <si>
    <t>T Fake Sweep R</t>
  </si>
  <si>
    <t>Run &amp; Shoot Playbooks:</t>
  </si>
  <si>
    <t>TSB Stat Simulator</t>
  </si>
  <si>
    <t>Beta Version</t>
  </si>
  <si>
    <t>is a data cell (will not change numbers)</t>
  </si>
  <si>
    <t>is a input cell (needed to create numbers)</t>
  </si>
  <si>
    <t>For Best Use:</t>
  </si>
  <si>
    <r>
      <t xml:space="preserve">The </t>
    </r>
    <r>
      <rPr>
        <b/>
        <sz val="10"/>
        <rFont val="Arial"/>
        <family val="2"/>
      </rPr>
      <t>Individual</t>
    </r>
    <r>
      <rPr>
        <sz val="10"/>
        <rFont val="Arial"/>
        <family val="0"/>
      </rPr>
      <t xml:space="preserve"> worksheet calculates the simulation numbers for each player</t>
    </r>
  </si>
  <si>
    <r>
      <t xml:space="preserve">The </t>
    </r>
    <r>
      <rPr>
        <b/>
        <sz val="10"/>
        <rFont val="Arial"/>
        <family val="2"/>
      </rPr>
      <t>Team</t>
    </r>
    <r>
      <rPr>
        <sz val="10"/>
        <rFont val="Arial"/>
        <family val="0"/>
      </rPr>
      <t xml:space="preserve"> worksheet calculates the simulation numbers for the team</t>
    </r>
  </si>
  <si>
    <t>Note:</t>
  </si>
  <si>
    <t>This will not always be perfect so if something looks wrong than it is</t>
  </si>
  <si>
    <r>
      <t xml:space="preserve">The </t>
    </r>
    <r>
      <rPr>
        <b/>
        <sz val="10"/>
        <rFont val="Arial"/>
        <family val="2"/>
      </rPr>
      <t>Sim</t>
    </r>
    <r>
      <rPr>
        <sz val="10"/>
        <rFont val="Arial"/>
        <family val="0"/>
      </rPr>
      <t xml:space="preserve"> worksheet contains a simplified look at the finished simulation numbers</t>
    </r>
  </si>
  <si>
    <t>QB2:</t>
  </si>
  <si>
    <t>Rushing Ability</t>
  </si>
  <si>
    <t>Passing Ability</t>
  </si>
  <si>
    <t>Pocket</t>
  </si>
  <si>
    <t>Receiving Ability</t>
  </si>
  <si>
    <t>Punt Return Ability</t>
  </si>
  <si>
    <t>Kick Return Ability</t>
  </si>
  <si>
    <t>RB3:</t>
  </si>
  <si>
    <t>RB4:</t>
  </si>
  <si>
    <t>WR3:</t>
  </si>
  <si>
    <t>WR4:</t>
  </si>
  <si>
    <t>Pass Rush</t>
  </si>
  <si>
    <t>Pass Coverage</t>
  </si>
  <si>
    <t>TE2:</t>
  </si>
  <si>
    <t>Kick Ability</t>
  </si>
  <si>
    <t>KK:</t>
  </si>
  <si>
    <t>PP:</t>
  </si>
  <si>
    <t>Offensive Type</t>
  </si>
  <si>
    <t>The total defensive Pass Rush and Pass Coverage must both equal 255 so adjust the numbers until it is</t>
  </si>
  <si>
    <t>Mat McBriar</t>
  </si>
  <si>
    <t>Punt Average</t>
  </si>
  <si>
    <t>FG Attempts</t>
  </si>
  <si>
    <t>FGs Made</t>
  </si>
  <si>
    <r>
      <t xml:space="preserve">Each team should use one of the playbook setups on the </t>
    </r>
    <r>
      <rPr>
        <b/>
        <sz val="10"/>
        <rFont val="Arial"/>
        <family val="2"/>
      </rPr>
      <t>Playbooks</t>
    </r>
    <r>
      <rPr>
        <sz val="10"/>
        <rFont val="Arial"/>
        <family val="0"/>
      </rPr>
      <t xml:space="preserve"> worksheet</t>
    </r>
  </si>
  <si>
    <t>Defensive Type</t>
  </si>
  <si>
    <t>Tony Romo</t>
  </si>
  <si>
    <t>Brad Johnson</t>
  </si>
  <si>
    <t>Marion Barber</t>
  </si>
  <si>
    <t>Felix Jones</t>
  </si>
  <si>
    <t>Tashard Choice</t>
  </si>
  <si>
    <t>Deon Anderson</t>
  </si>
  <si>
    <t>Terrell Owens</t>
  </si>
  <si>
    <t>Patrick Crayton</t>
  </si>
  <si>
    <t>Miles Austin</t>
  </si>
  <si>
    <t>Marcellus Bennett</t>
  </si>
  <si>
    <t>LB</t>
  </si>
  <si>
    <t>Demarcus Ware</t>
  </si>
  <si>
    <t>Bradie James</t>
  </si>
  <si>
    <t>Zach Thomas</t>
  </si>
  <si>
    <t>Ken Hamlin</t>
  </si>
  <si>
    <t>Anthony Henry</t>
  </si>
  <si>
    <t>Marcus Spears</t>
  </si>
  <si>
    <t>Chris Canty</t>
  </si>
  <si>
    <t>Jay Ratliff</t>
  </si>
  <si>
    <t>Nick Folk</t>
  </si>
  <si>
    <t>Dallas 2008-09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</si>
</sst>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26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8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19"/>
  <sheetViews>
    <sheetView tabSelected="1" workbookViewId="0" topLeftCell="A1">
      <selection activeCell="A1" sqref="A1:F1"/>
    </sheetView>
  </sheetViews>
  <sheetFormatPr defaultColWidth="9.140625" defaultRowHeight="12.75"/>
  <sheetData>
    <row r="1" spans="1:10" ht="33">
      <c r="A1" s="22" t="s">
        <v>132</v>
      </c>
      <c r="B1" s="22"/>
      <c r="C1" s="22"/>
      <c r="D1" s="22"/>
      <c r="E1" s="22"/>
      <c r="F1" s="22"/>
      <c r="G1" s="14"/>
      <c r="H1" s="14"/>
      <c r="I1" s="9"/>
      <c r="J1" s="9"/>
    </row>
    <row r="2" spans="1:10" ht="20.25">
      <c r="A2" s="23" t="s">
        <v>133</v>
      </c>
      <c r="B2" s="24"/>
      <c r="C2" s="24"/>
      <c r="D2" s="24"/>
      <c r="E2" s="24"/>
      <c r="F2" s="24"/>
      <c r="G2" s="14"/>
      <c r="H2" s="14"/>
      <c r="I2" s="9"/>
      <c r="J2" s="9"/>
    </row>
    <row r="3" spans="1:10" ht="12.75">
      <c r="A3" s="14"/>
      <c r="B3" s="14"/>
      <c r="C3" s="14"/>
      <c r="D3" s="14"/>
      <c r="E3" s="14"/>
      <c r="F3" s="14"/>
      <c r="G3" s="14"/>
      <c r="H3" s="14"/>
      <c r="I3" s="9"/>
      <c r="J3" s="9"/>
    </row>
    <row r="4" spans="1:10" ht="12.75">
      <c r="A4" s="14" t="s">
        <v>137</v>
      </c>
      <c r="B4" s="14"/>
      <c r="C4" s="14"/>
      <c r="D4" s="14"/>
      <c r="E4" s="14"/>
      <c r="F4" s="14"/>
      <c r="G4" s="14"/>
      <c r="H4" s="14"/>
      <c r="I4" s="9"/>
      <c r="J4" s="9"/>
    </row>
    <row r="5" spans="1:10" ht="12.75">
      <c r="A5" s="14" t="s">
        <v>138</v>
      </c>
      <c r="B5" s="14"/>
      <c r="C5" s="14"/>
      <c r="D5" s="14"/>
      <c r="E5" s="14"/>
      <c r="F5" s="14"/>
      <c r="G5" s="14"/>
      <c r="H5" s="14"/>
      <c r="I5" s="9"/>
      <c r="J5" s="9"/>
    </row>
    <row r="6" spans="1:10" ht="12.75">
      <c r="A6" s="14" t="s">
        <v>141</v>
      </c>
      <c r="B6" s="14"/>
      <c r="C6" s="14"/>
      <c r="D6" s="14"/>
      <c r="E6" s="14"/>
      <c r="F6" s="14"/>
      <c r="G6" s="14"/>
      <c r="H6" s="14"/>
      <c r="I6" s="9"/>
      <c r="J6" s="9"/>
    </row>
    <row r="7" spans="1:10" ht="12.75">
      <c r="A7" s="14"/>
      <c r="B7" s="14"/>
      <c r="C7" s="14"/>
      <c r="D7" s="14"/>
      <c r="E7" s="14"/>
      <c r="F7" s="14"/>
      <c r="G7" s="14"/>
      <c r="H7" s="14"/>
      <c r="I7" s="9"/>
      <c r="J7" s="9"/>
    </row>
    <row r="8" spans="1:10" ht="12.75">
      <c r="A8" s="3"/>
      <c r="B8" s="14" t="s">
        <v>134</v>
      </c>
      <c r="C8" s="14"/>
      <c r="D8" s="14"/>
      <c r="E8" s="14"/>
      <c r="F8" s="14"/>
      <c r="G8" s="14"/>
      <c r="H8" s="14"/>
      <c r="I8" s="9"/>
      <c r="J8" s="9"/>
    </row>
    <row r="9" spans="1:10" ht="12.75">
      <c r="A9" s="4"/>
      <c r="B9" s="14" t="s">
        <v>135</v>
      </c>
      <c r="C9" s="14"/>
      <c r="D9" s="14"/>
      <c r="E9" s="14"/>
      <c r="F9" s="14"/>
      <c r="G9" s="14"/>
      <c r="H9" s="14"/>
      <c r="I9" s="9"/>
      <c r="J9" s="9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9"/>
      <c r="J10" s="9"/>
    </row>
    <row r="11" spans="1:10" ht="12.75">
      <c r="A11" s="25" t="s">
        <v>160</v>
      </c>
      <c r="B11" s="25"/>
      <c r="C11" s="25"/>
      <c r="D11" s="25"/>
      <c r="E11" s="25"/>
      <c r="F11" s="25"/>
      <c r="G11" s="25"/>
      <c r="H11" s="14"/>
      <c r="I11" s="9"/>
      <c r="J11" s="9"/>
    </row>
    <row r="12" spans="1:10" ht="12.75">
      <c r="A12" s="25"/>
      <c r="B12" s="25"/>
      <c r="C12" s="25"/>
      <c r="D12" s="25"/>
      <c r="E12" s="25"/>
      <c r="F12" s="25"/>
      <c r="G12" s="25"/>
      <c r="H12" s="14"/>
      <c r="I12" s="9"/>
      <c r="J12" s="9"/>
    </row>
    <row r="13" spans="1:10" ht="12.75">
      <c r="A13" s="15"/>
      <c r="B13" s="15"/>
      <c r="C13" s="15"/>
      <c r="D13" s="15"/>
      <c r="E13" s="15"/>
      <c r="F13" s="15"/>
      <c r="G13" s="15"/>
      <c r="H13" s="14"/>
      <c r="I13" s="9"/>
      <c r="J13" s="9"/>
    </row>
    <row r="14" spans="1:10" ht="12.75">
      <c r="A14" s="14" t="s">
        <v>136</v>
      </c>
      <c r="B14" s="14"/>
      <c r="C14" s="14"/>
      <c r="D14" s="14"/>
      <c r="E14" s="14"/>
      <c r="F14" s="14"/>
      <c r="G14" s="14"/>
      <c r="H14" s="14"/>
      <c r="I14" s="9"/>
      <c r="J14" s="9"/>
    </row>
    <row r="15" spans="1:10" ht="12.75">
      <c r="A15" s="14" t="s">
        <v>165</v>
      </c>
      <c r="B15" s="14"/>
      <c r="C15" s="14"/>
      <c r="D15" s="14"/>
      <c r="E15" s="14"/>
      <c r="F15" s="14"/>
      <c r="G15" s="14"/>
      <c r="H15" s="14"/>
      <c r="I15" s="9"/>
      <c r="J15" s="9"/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9"/>
      <c r="J16" s="9"/>
    </row>
    <row r="17" spans="1:10" ht="12.75">
      <c r="A17" s="14" t="s">
        <v>139</v>
      </c>
      <c r="B17" s="14"/>
      <c r="C17" s="14"/>
      <c r="D17" s="14"/>
      <c r="E17" s="14"/>
      <c r="F17" s="14"/>
      <c r="G17" s="14"/>
      <c r="H17" s="14"/>
      <c r="I17" s="9"/>
      <c r="J17" s="9"/>
    </row>
    <row r="18" spans="1:10" ht="12.75">
      <c r="A18" s="14" t="s">
        <v>140</v>
      </c>
      <c r="B18" s="14"/>
      <c r="C18" s="14"/>
      <c r="D18" s="14"/>
      <c r="E18" s="14"/>
      <c r="F18" s="14"/>
      <c r="G18" s="14"/>
      <c r="H18" s="14"/>
      <c r="I18" s="9"/>
      <c r="J18" s="9"/>
    </row>
    <row r="19" spans="1:7" ht="12.75">
      <c r="A19" s="14"/>
      <c r="B19" s="14"/>
      <c r="C19" s="14"/>
      <c r="D19" s="14"/>
      <c r="E19" s="14"/>
      <c r="F19" s="14"/>
      <c r="G19" s="14"/>
    </row>
  </sheetData>
  <sheetProtection sheet="1" objects="1" scenarios="1"/>
  <mergeCells count="3">
    <mergeCell ref="A1:F1"/>
    <mergeCell ref="A2:F2"/>
    <mergeCell ref="A11:G12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Q52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19.421875" style="0" bestFit="1" customWidth="1"/>
    <col min="3" max="3" width="12.00390625" style="0" bestFit="1" customWidth="1"/>
    <col min="4" max="4" width="6.28125" style="0" bestFit="1" customWidth="1"/>
    <col min="5" max="5" width="5.00390625" style="0" bestFit="1" customWidth="1"/>
    <col min="6" max="6" width="6.00390625" style="0" bestFit="1" customWidth="1"/>
    <col min="7" max="7" width="4.8515625" style="0" bestFit="1" customWidth="1"/>
    <col min="8" max="8" width="4.7109375" style="0" bestFit="1" customWidth="1"/>
    <col min="9" max="9" width="4.421875" style="0" customWidth="1"/>
    <col min="10" max="10" width="5.28125" style="0" bestFit="1" customWidth="1"/>
    <col min="11" max="11" width="6.00390625" style="0" bestFit="1" customWidth="1"/>
    <col min="12" max="12" width="4.28125" style="0" bestFit="1" customWidth="1"/>
    <col min="13" max="13" width="4.28125" style="0" customWidth="1"/>
    <col min="14" max="16" width="4.140625" style="0" bestFit="1" customWidth="1"/>
    <col min="17" max="17" width="5.00390625" style="0" bestFit="1" customWidth="1"/>
  </cols>
  <sheetData>
    <row r="1" spans="1:2" ht="12.75">
      <c r="A1" t="s">
        <v>0</v>
      </c>
      <c r="B1" s="10" t="s">
        <v>187</v>
      </c>
    </row>
    <row r="3" spans="1:2" ht="12.75">
      <c r="A3" t="s">
        <v>1</v>
      </c>
      <c r="B3" s="11">
        <v>547</v>
      </c>
    </row>
    <row r="4" spans="1:2" ht="12.75">
      <c r="A4" t="s">
        <v>2</v>
      </c>
      <c r="B4" s="11">
        <v>401</v>
      </c>
    </row>
    <row r="5" spans="1:2" ht="12.75">
      <c r="A5" t="s">
        <v>10</v>
      </c>
      <c r="B5" s="6" t="str">
        <f>IF(B3/(B3+B4)&gt;=0.58,"Passing",IF(B3/(B3+B4)&gt;0.5,"Light Passing",IF(B3/(B3+B4)&gt;=0.42,"Light Rushing","Rushing")))</f>
        <v>Light Passing</v>
      </c>
    </row>
    <row r="7" spans="3:17" ht="12.75">
      <c r="C7" s="2" t="s">
        <v>22</v>
      </c>
      <c r="D7" s="2" t="s">
        <v>15</v>
      </c>
      <c r="E7" s="2" t="s">
        <v>14</v>
      </c>
      <c r="F7" s="2" t="s">
        <v>11</v>
      </c>
      <c r="G7" s="2" t="s">
        <v>12</v>
      </c>
      <c r="H7" s="2" t="s">
        <v>13</v>
      </c>
      <c r="I7" s="2"/>
      <c r="J7" s="2" t="s">
        <v>16</v>
      </c>
      <c r="K7" s="2" t="s">
        <v>11</v>
      </c>
      <c r="L7" s="2" t="s">
        <v>12</v>
      </c>
      <c r="M7" s="2"/>
      <c r="N7" s="16" t="s">
        <v>18</v>
      </c>
      <c r="O7" s="16" t="s">
        <v>17</v>
      </c>
      <c r="P7" s="16" t="s">
        <v>55</v>
      </c>
      <c r="Q7" s="17"/>
    </row>
    <row r="8" spans="1:17" ht="12.75">
      <c r="A8" t="s">
        <v>3</v>
      </c>
      <c r="B8" s="12" t="s">
        <v>167</v>
      </c>
      <c r="C8" s="13">
        <v>67</v>
      </c>
      <c r="D8" s="13">
        <v>831</v>
      </c>
      <c r="E8" s="13">
        <v>1307</v>
      </c>
      <c r="F8" s="13">
        <v>10562</v>
      </c>
      <c r="G8" s="13">
        <v>81</v>
      </c>
      <c r="H8" s="13">
        <v>46</v>
      </c>
      <c r="J8" s="13">
        <v>95</v>
      </c>
      <c r="K8" s="13">
        <v>270</v>
      </c>
      <c r="L8" s="13">
        <v>2</v>
      </c>
      <c r="N8" s="18">
        <f>IF(C8=0,0,IF(J8=0,0,ROUNDDOWN((K8/J8*J8/C8*16)/(IF($B$5="Passing",1500,IF($B$5="Light Passing",2000,IF($B$5="Light Rushing",2800,IF($B$5="Rushing",3200,0)))))*15,0)))</f>
        <v>0</v>
      </c>
      <c r="O8" s="18">
        <f>IF(E8=0,2,ROUNDDOWN((((D8/E8-0.3)/0.2+(F8/E8-3)/4+G8/E8/0.05+(0.095-H8/E8)/0.04)/0.06)/(108/14)-4.8333+(D8/E8-0.6)*20,0))</f>
        <v>8</v>
      </c>
      <c r="P8" s="18">
        <f>IF(C8=0,2,IF(J8/C8&gt;=3,0,IF(J8/C8&gt;=2,1,IF(J8/C8&gt;=1,2,3))))</f>
        <v>2</v>
      </c>
      <c r="Q8" s="17"/>
    </row>
    <row r="9" spans="1:17" ht="12.75">
      <c r="A9" t="s">
        <v>44</v>
      </c>
      <c r="B9" s="12" t="s">
        <v>168</v>
      </c>
      <c r="C9" s="13">
        <v>177</v>
      </c>
      <c r="D9" s="13">
        <v>2668</v>
      </c>
      <c r="E9" s="13">
        <v>4326</v>
      </c>
      <c r="F9" s="13">
        <v>29054</v>
      </c>
      <c r="G9" s="13">
        <v>166</v>
      </c>
      <c r="H9" s="13">
        <v>122</v>
      </c>
      <c r="J9" s="13">
        <v>276</v>
      </c>
      <c r="K9" s="13">
        <v>657</v>
      </c>
      <c r="L9" s="13">
        <v>8</v>
      </c>
      <c r="N9" s="18">
        <f>IF(C9=0,0,IF(J9=0,0,ROUNDDOWN((K9/J9*J9/C9*16)/(IF($B$5="Passing",1500,IF($B$5="Light Passing",2000,IF($B$5="Light Rushing",2800,IF($B$5="Rushing",3200,0)))))*15,0)))</f>
        <v>0</v>
      </c>
      <c r="O9" s="18">
        <f>IF(E9=0,2,ROUNDDOWN((((D9/E9-0.3)/0.2+(F9/E9-3)/4+G9/E9/0.05+(0.095-H9/E9)/0.04)/0.06)/(108/14)-4.8333+(D9/E9-0.6)*20,0))</f>
        <v>6</v>
      </c>
      <c r="P9" s="18">
        <f>IF(C9=0,2,IF(J9/C9&gt;=3,0,IF(J9/C9&gt;=2,1,IF(J9/C9&gt;=1,2,3))))</f>
        <v>2</v>
      </c>
      <c r="Q9" s="17"/>
    </row>
    <row r="10" spans="14:17" ht="12.75">
      <c r="N10" s="17"/>
      <c r="O10" s="17"/>
      <c r="P10" s="17"/>
      <c r="Q10" s="17"/>
    </row>
    <row r="11" spans="3:17" ht="12.75">
      <c r="C11" s="2" t="s">
        <v>22</v>
      </c>
      <c r="D11" s="2"/>
      <c r="E11" s="2" t="s">
        <v>19</v>
      </c>
      <c r="F11" s="2" t="s">
        <v>11</v>
      </c>
      <c r="G11" s="2" t="s">
        <v>12</v>
      </c>
      <c r="H11" s="2"/>
      <c r="I11" s="2"/>
      <c r="J11" s="2" t="s">
        <v>16</v>
      </c>
      <c r="K11" s="2" t="s">
        <v>11</v>
      </c>
      <c r="L11" s="2" t="s">
        <v>12</v>
      </c>
      <c r="M11" s="2"/>
      <c r="N11" s="16" t="s">
        <v>18</v>
      </c>
      <c r="O11" s="16" t="s">
        <v>20</v>
      </c>
      <c r="P11" s="16" t="s">
        <v>56</v>
      </c>
      <c r="Q11" s="16" t="s">
        <v>57</v>
      </c>
    </row>
    <row r="12" spans="1:17" ht="12.75">
      <c r="A12" t="s">
        <v>4</v>
      </c>
      <c r="B12" s="12" t="s">
        <v>169</v>
      </c>
      <c r="C12" s="13">
        <v>60</v>
      </c>
      <c r="E12" s="13">
        <v>137</v>
      </c>
      <c r="F12" s="13">
        <v>1010</v>
      </c>
      <c r="G12" s="13">
        <v>6</v>
      </c>
      <c r="J12" s="13">
        <v>715</v>
      </c>
      <c r="K12" s="13">
        <v>3052</v>
      </c>
      <c r="L12" s="13">
        <v>36</v>
      </c>
      <c r="N12" s="18">
        <f>IF(C12=0,0,IF(J12=0,0,ROUNDDOWN((K12/J12*J12/C12*16)/(IF($B$5="Passing",1500,IF($B$5="Light Passing",2000,IF($B$5="Light Rushing",2800,IF($B$5="Rushing",3200,0)))))*15,0)))</f>
        <v>6</v>
      </c>
      <c r="O12" s="18">
        <f>ROUNDDOWN(IF(ROUNDDOWN(IF(C12=0,0,G12/C12*16)+$F$25/4,0)&gt;(Q12/5-1),IF(Q12/5-1&lt;=0,0,Q12/5-1),0),0)</f>
        <v>0</v>
      </c>
      <c r="P12" s="18">
        <f>ROUNDDOWN((IF(J12=0,0,K12/J12*4)+IF(E12=0,0,F12/E12))/5,0)</f>
        <v>4</v>
      </c>
      <c r="Q12" s="18">
        <f>IF(C12=0,0,ROUNDDOWN((E12+$E$25/4)/C12/((D$8+D$9)/(C$8+C$9))*30,0))</f>
        <v>4</v>
      </c>
    </row>
    <row r="13" spans="1:17" ht="12.75">
      <c r="A13" t="s">
        <v>5</v>
      </c>
      <c r="B13" s="12" t="s">
        <v>172</v>
      </c>
      <c r="C13" s="13">
        <v>22</v>
      </c>
      <c r="E13" s="13">
        <v>8</v>
      </c>
      <c r="F13" s="13">
        <v>62</v>
      </c>
      <c r="G13" s="13">
        <v>1</v>
      </c>
      <c r="J13" s="13">
        <v>2</v>
      </c>
      <c r="K13" s="13">
        <v>3</v>
      </c>
      <c r="L13" s="13">
        <v>0</v>
      </c>
      <c r="N13" s="18">
        <f>IF(C13=0,0,IF(J13=0,0,ROUNDDOWN((K13/J13*J13/C13*16)/(IF($B$5="Passing",1500,IF($B$5="Light Passing",2000,IF($B$5="Light Rushing",2800,IF($B$5="Rushing",3200,0)))))*15,0)))</f>
        <v>0</v>
      </c>
      <c r="O13" s="18">
        <f>ROUNDDOWN(IF(ROUNDDOWN(IF(C13=0,0,G13/C13*16)+$F$25/4,0)&gt;(Q13/5-1),IF(Q13/5-1&lt;=0,0,Q13/5-1),0),0)</f>
        <v>0</v>
      </c>
      <c r="P13" s="18">
        <f>ROUNDDOWN((IF(J13=0,0,K13/J13*4)+IF(E13=0,0,F13/E13))/5,0)</f>
        <v>2</v>
      </c>
      <c r="Q13" s="18">
        <f>IF(C13=0,0,ROUNDDOWN((E13+$E$25/4)/C13/((D$8+D$9)/(C$8+C$9))*30,0))</f>
        <v>0</v>
      </c>
    </row>
    <row r="14" spans="1:17" ht="12.75">
      <c r="A14" t="s">
        <v>42</v>
      </c>
      <c r="B14" s="12" t="s">
        <v>170</v>
      </c>
      <c r="C14" s="13">
        <v>6</v>
      </c>
      <c r="E14" s="13">
        <v>2</v>
      </c>
      <c r="F14" s="13">
        <v>10</v>
      </c>
      <c r="G14" s="13">
        <v>0</v>
      </c>
      <c r="J14" s="13">
        <v>30</v>
      </c>
      <c r="K14" s="13">
        <v>266</v>
      </c>
      <c r="L14" s="13">
        <v>3</v>
      </c>
      <c r="N14" s="18">
        <f>IF(C14=0,0,IF(J14=0,0,ROUNDDOWN((K14/J14*J14/C14*16)/(IF($B$5="Passing",1500,IF($B$5="Light Passing",2000,IF($B$5="Light Rushing",2800,IF($B$5="Rushing",3200,0)))))*15,0)))</f>
        <v>5</v>
      </c>
      <c r="O14" s="18">
        <f>ROUNDDOWN(IF(ROUNDDOWN(IF(C14=0,0,G14/C14*16)+$F$25/4,0)&gt;(Q14/5-1),IF(Q14/5-1&lt;=0,0,Q14/5-1),0),0)</f>
        <v>0</v>
      </c>
      <c r="P14" s="18">
        <f>ROUNDDOWN((IF(J14=0,0,K14/J14*4)+IF(E14=0,0,F14/E14))/5,0)</f>
        <v>8</v>
      </c>
      <c r="Q14" s="18">
        <f>IF(C14=0,0,ROUNDDOWN((E14+$E$25/4)/C14/((D$8+D$9)/(C$8+C$9))*30,0))</f>
        <v>0</v>
      </c>
    </row>
    <row r="15" spans="1:17" ht="12.75">
      <c r="A15" t="s">
        <v>43</v>
      </c>
      <c r="B15" s="12" t="s">
        <v>171</v>
      </c>
      <c r="C15" s="13">
        <v>16</v>
      </c>
      <c r="E15" s="13">
        <v>21</v>
      </c>
      <c r="F15" s="13">
        <v>185</v>
      </c>
      <c r="G15" s="13">
        <v>0</v>
      </c>
      <c r="J15" s="13">
        <v>92</v>
      </c>
      <c r="K15" s="13">
        <v>472</v>
      </c>
      <c r="L15" s="13">
        <v>2</v>
      </c>
      <c r="N15" s="18">
        <f>IF(C15=0,0,IF(J15=0,0,ROUNDDOWN((K15/J15*J15/C15*16)/(IF($B$5="Passing",1500,IF($B$5="Light Passing",2000,IF($B$5="Light Rushing",2800,IF($B$5="Rushing",3200,0)))))*15,0)))</f>
        <v>3</v>
      </c>
      <c r="O15" s="18">
        <f>ROUNDDOWN(IF(ROUNDDOWN(IF(C15=0,0,G15/C15*16)+$F$25/4,0)&gt;(Q15/5-1),IF(Q15/5-1&lt;=0,0,Q15/5-1),0),0)</f>
        <v>0</v>
      </c>
      <c r="P15" s="18">
        <f>ROUNDDOWN((IF(J15=0,0,K15/J15*4)+IF(E15=0,0,F15/E15))/5,0)</f>
        <v>5</v>
      </c>
      <c r="Q15" s="18">
        <f>IF(C15=0,0,ROUNDDOWN((E15+$E$25/4)/C15/((D$8+D$9)/(C$8+C$9))*30,0))</f>
        <v>2</v>
      </c>
    </row>
    <row r="16" spans="14:17" ht="12.75">
      <c r="N16" s="17"/>
      <c r="O16" s="17"/>
      <c r="P16" s="17"/>
      <c r="Q16" s="17"/>
    </row>
    <row r="17" spans="1:17" ht="12.75">
      <c r="A17" t="s">
        <v>6</v>
      </c>
      <c r="B17" s="12" t="s">
        <v>173</v>
      </c>
      <c r="C17" s="13">
        <v>189</v>
      </c>
      <c r="E17" s="13">
        <v>951</v>
      </c>
      <c r="F17" s="13">
        <v>14122</v>
      </c>
      <c r="G17" s="13">
        <v>139</v>
      </c>
      <c r="J17" s="13">
        <v>33</v>
      </c>
      <c r="K17" s="13">
        <v>197</v>
      </c>
      <c r="L17" s="13">
        <v>2</v>
      </c>
      <c r="N17" s="18">
        <f>IF(C17=0,0,IF(J17=0,0,ROUNDDOWN((K17/J17*J17/C17*16)/(IF($B$5="Passing",1500,IF($B$5="Light Passing",2000,IF($B$5="Light Rushing",2800,IF($B$5="Rushing",3200,0)))))*15,0)))</f>
        <v>0</v>
      </c>
      <c r="O17" s="18">
        <f>ROUNDDOWN(IF(ROUNDDOWN(IF(C17=0,0,G17/C17*16)+$F$26/4,0)&lt;(Q17/5-1),IF(Q17/5-1&lt;=0,0,Q17/5-1),ROUNDDOWN(IF(C17=0,0,G17/C17*16)+$F$26/4,0)),0)</f>
        <v>11</v>
      </c>
      <c r="P17" s="18">
        <f>IF(E17=0,0,ROUNDDOWN(F17/E17/2,0))</f>
        <v>7</v>
      </c>
      <c r="Q17" s="18">
        <f>IF(C17=0,0,ROUNDDOWN((E17+$E$26/4)/C17/((D$8+D$9)/(C$8+C$9))*30,0))</f>
        <v>10</v>
      </c>
    </row>
    <row r="18" spans="1:17" ht="12.75">
      <c r="A18" t="s">
        <v>7</v>
      </c>
      <c r="B18" s="12" t="s">
        <v>34</v>
      </c>
      <c r="C18" s="13">
        <v>70</v>
      </c>
      <c r="E18" s="13">
        <v>281</v>
      </c>
      <c r="F18" s="13">
        <v>4082</v>
      </c>
      <c r="G18" s="13">
        <v>30</v>
      </c>
      <c r="J18" s="13">
        <v>6</v>
      </c>
      <c r="K18" s="13">
        <v>17</v>
      </c>
      <c r="L18" s="13">
        <v>0</v>
      </c>
      <c r="N18" s="18">
        <f>IF(C18=0,0,IF(J18=0,0,ROUNDDOWN((K18/J18*J18/C18*16)/(IF($B$5="Passing",1500,IF($B$5="Light Passing",2000,IF($B$5="Light Rushing",2800,IF($B$5="Rushing",3200,0)))))*15,0)))</f>
        <v>0</v>
      </c>
      <c r="O18" s="18">
        <f>ROUNDDOWN(IF(ROUNDDOWN(IF(C18=0,0,G18/C18*16)+$F$26/4,0)&lt;(Q18/5-1),IF(Q18/5-1&lt;=0,0,Q18/5-1),ROUNDDOWN(IF(C18=0,0,G18/C18*16)+$F$26/4,0)),0)</f>
        <v>6</v>
      </c>
      <c r="P18" s="18">
        <f>IF(E18=0,0,ROUNDDOWN(F18/E18/2,0))</f>
        <v>7</v>
      </c>
      <c r="Q18" s="18">
        <f>IF(C18=0,0,ROUNDDOWN((E18+$E$26/4)/C18/((D$8+D$9)/(C$8+C$9))*30,0))</f>
        <v>8</v>
      </c>
    </row>
    <row r="19" spans="1:17" ht="12.75">
      <c r="A19" t="s">
        <v>45</v>
      </c>
      <c r="B19" s="12" t="s">
        <v>174</v>
      </c>
      <c r="C19" s="13">
        <v>66</v>
      </c>
      <c r="E19" s="13">
        <v>159</v>
      </c>
      <c r="F19" s="13">
        <v>2266</v>
      </c>
      <c r="G19" s="13">
        <v>18</v>
      </c>
      <c r="J19" s="13">
        <v>2</v>
      </c>
      <c r="K19" s="13">
        <v>11</v>
      </c>
      <c r="L19" s="13">
        <v>0</v>
      </c>
      <c r="N19" s="18">
        <f>IF(C19=0,0,IF(J19=0,0,ROUNDDOWN((K19/J19*J19/C19*16)/(IF($B$5="Passing",1500,IF($B$5="Light Passing",2000,IF($B$5="Light Rushing",2800,IF($B$5="Rushing",3200,0)))))*15,0)))</f>
        <v>0</v>
      </c>
      <c r="O19" s="18">
        <f>ROUNDDOWN(IF(ROUNDDOWN(IF(C19=0,0,G19/C19*16)+$F$26/4,0)&lt;(Q19/5-1),IF(Q19/5-1&lt;=0,0,Q19/5-1),ROUNDDOWN(IF(C19=0,0,G19/C19*16)+$F$26/4,0)),0)</f>
        <v>4</v>
      </c>
      <c r="P19" s="18">
        <f>IF(E19=0,0,ROUNDDOWN(F19/E19/2,0))</f>
        <v>7</v>
      </c>
      <c r="Q19" s="18">
        <f>IF(C19=0,0,ROUNDDOWN((E19+$E$26/4)/C19/((D$8+D$9)/(C$8+C$9))*30,0))</f>
        <v>5</v>
      </c>
    </row>
    <row r="20" spans="1:17" ht="12.75">
      <c r="A20" t="s">
        <v>46</v>
      </c>
      <c r="B20" s="12" t="s">
        <v>175</v>
      </c>
      <c r="C20" s="13">
        <v>37</v>
      </c>
      <c r="E20" s="13">
        <v>18</v>
      </c>
      <c r="F20" s="13">
        <v>354</v>
      </c>
      <c r="G20" s="13">
        <v>3</v>
      </c>
      <c r="J20" s="13">
        <v>0</v>
      </c>
      <c r="K20" s="13">
        <v>0</v>
      </c>
      <c r="L20" s="13">
        <v>0</v>
      </c>
      <c r="N20" s="18">
        <f>IF(C20=0,0,IF(J20=0,0,ROUNDDOWN((K20/J20*J20/C20*16)/(IF($B$5="Passing",1500,IF($B$5="Light Passing",2000,IF($B$5="Light Rushing",2800,IF($B$5="Rushing",3200,0)))))*15,0)))</f>
        <v>0</v>
      </c>
      <c r="O20" s="18">
        <f>ROUNDDOWN(IF(ROUNDDOWN(IF(C20=0,0,G20/C20*16)+$F$26/4,0)&lt;(Q20/5-1),IF(Q20/5-1&lt;=0,0,Q20/5-1),ROUNDDOWN(IF(C20=0,0,G20/C20*16)+$F$26/4,0)),0)</f>
        <v>1</v>
      </c>
      <c r="P20" s="18">
        <f>IF(E20=0,0,ROUNDDOWN(F20/E20/2,0))</f>
        <v>9</v>
      </c>
      <c r="Q20" s="18">
        <f>IF(C20=0,0,ROUNDDOWN((E20+$E$26/4)/C20/((D$8+D$9)/(C$8+C$9))*30,0))</f>
        <v>1</v>
      </c>
    </row>
    <row r="21" spans="14:17" ht="12.75">
      <c r="N21" s="17"/>
      <c r="O21" s="17"/>
      <c r="P21" s="17"/>
      <c r="Q21" s="17"/>
    </row>
    <row r="22" spans="1:17" ht="12.75">
      <c r="A22" t="s">
        <v>8</v>
      </c>
      <c r="B22" s="12" t="s">
        <v>9</v>
      </c>
      <c r="C22" s="13">
        <v>95</v>
      </c>
      <c r="E22" s="13">
        <v>429</v>
      </c>
      <c r="F22" s="13">
        <v>4935</v>
      </c>
      <c r="G22" s="13">
        <v>25</v>
      </c>
      <c r="J22" s="13">
        <v>0</v>
      </c>
      <c r="K22" s="13">
        <v>0</v>
      </c>
      <c r="L22" s="13">
        <v>0</v>
      </c>
      <c r="N22" s="18">
        <f>IF(C22=0,0,IF(J22=0,0,ROUNDDOWN((K22/J22*J22/C22*16)/(IF($B$5="Passing",1500,IF($B$5="Light Passing",2000,IF($B$5="Light Rushing",2800,IF($B$5="Rushing",3200,0)))))*15,0)))</f>
        <v>0</v>
      </c>
      <c r="O22" s="18">
        <f>ROUNDDOWN(IF(ROUNDDOWN(IF(C22=0,0,G22/C22*16)+$F$27/2,0)&lt;(Q22/5-1),IF(Q22/5-1&lt;=0,0,Q22/5-1),ROUNDDOWN(IF(C22=0,0,G22/C22*16)+$F$27/2,0)),0)</f>
        <v>4</v>
      </c>
      <c r="P22" s="18">
        <f>IF(E22=0,0,ROUNDDOWN(F22/E22/2,0))</f>
        <v>5</v>
      </c>
      <c r="Q22" s="18">
        <f>IF(C22=0,0,ROUNDDOWN((E22+$E$27/4)/C22/((D$8+D$9)/(C$8+C$9))*30,0))</f>
        <v>9</v>
      </c>
    </row>
    <row r="23" spans="1:17" ht="12.75">
      <c r="A23" t="s">
        <v>47</v>
      </c>
      <c r="B23" s="12" t="s">
        <v>176</v>
      </c>
      <c r="C23" s="13">
        <v>16</v>
      </c>
      <c r="E23" s="13">
        <v>20</v>
      </c>
      <c r="F23" s="13">
        <v>283</v>
      </c>
      <c r="G23" s="13">
        <v>4</v>
      </c>
      <c r="J23" s="13">
        <v>0</v>
      </c>
      <c r="K23" s="13">
        <v>0</v>
      </c>
      <c r="L23" s="13">
        <v>0</v>
      </c>
      <c r="N23" s="18">
        <f>IF(C23=0,0,IF(J23=0,0,ROUNDDOWN((K23/J23*J23/C23*16)/(IF($B$5="Passing",1500,IF($B$5="Light Passing",2000,IF($B$5="Light Rushing",2800,IF($B$5="Rushing",3200,0)))))*15,0)))</f>
        <v>0</v>
      </c>
      <c r="O23" s="18">
        <f>ROUNDDOWN(IF(ROUNDDOWN(IF(C23=0,0,G23/C23*16)+$F$27/2,0)&lt;(Q23/5-1),IF(Q23/5-1&lt;=0,0,Q23/5-1),ROUNDDOWN(IF(C23=0,0,G23/C23*16)+$F$27/2,0)),0)</f>
        <v>4</v>
      </c>
      <c r="P23" s="18">
        <f>IF(E23=0,0,ROUNDDOWN(F23/E23/2,0))</f>
        <v>7</v>
      </c>
      <c r="Q23" s="18">
        <f>IF(C23=0,0,ROUNDDOWN((E23+$E$27/4)/C23/((D$8+D$9)/(C$8+C$9))*30,0))</f>
        <v>2</v>
      </c>
    </row>
    <row r="24" spans="5:6" ht="12.75">
      <c r="E24" t="s">
        <v>19</v>
      </c>
      <c r="F24" t="s">
        <v>12</v>
      </c>
    </row>
    <row r="25" spans="3:6" ht="12.75">
      <c r="C25" s="28" t="s">
        <v>23</v>
      </c>
      <c r="D25" s="28"/>
      <c r="E25" s="13">
        <v>0</v>
      </c>
      <c r="F25" s="13">
        <v>0</v>
      </c>
    </row>
    <row r="26" spans="3:6" ht="12.75">
      <c r="C26" s="28" t="s">
        <v>24</v>
      </c>
      <c r="D26" s="28"/>
      <c r="E26" s="13">
        <v>2</v>
      </c>
      <c r="F26" s="13">
        <v>0</v>
      </c>
    </row>
    <row r="27" spans="3:6" ht="12.75">
      <c r="C27" s="28" t="s">
        <v>25</v>
      </c>
      <c r="D27" s="28"/>
      <c r="E27" s="13">
        <v>8</v>
      </c>
      <c r="F27" s="13">
        <v>0</v>
      </c>
    </row>
    <row r="28" spans="4:6" ht="12.75">
      <c r="D28" s="1"/>
      <c r="E28" s="1"/>
      <c r="F28" s="1"/>
    </row>
    <row r="29" spans="3:8" ht="12.75">
      <c r="C29" s="2" t="s">
        <v>58</v>
      </c>
      <c r="D29" s="2" t="s">
        <v>41</v>
      </c>
      <c r="E29" s="2" t="s">
        <v>13</v>
      </c>
      <c r="F29" s="2"/>
      <c r="G29" s="2" t="s">
        <v>56</v>
      </c>
      <c r="H29" s="2" t="s">
        <v>63</v>
      </c>
    </row>
    <row r="30" spans="1:8" ht="12.75">
      <c r="A30" t="s">
        <v>27</v>
      </c>
      <c r="B30" s="12" t="s">
        <v>184</v>
      </c>
      <c r="D30" s="13">
        <f>10/64*16</f>
        <v>2.5</v>
      </c>
      <c r="E30" s="13">
        <f>3/64*16</f>
        <v>0.75</v>
      </c>
      <c r="G30" s="5">
        <f>ROUND((D30+D42/2+1/11)/SUM(D$30:D$46,1)*255,0)</f>
        <v>18</v>
      </c>
      <c r="H30" s="5">
        <f>ROUND((E30+E42/2+1/11)/SUM(E$30:E$46,1)*255,0)</f>
        <v>6</v>
      </c>
    </row>
    <row r="31" spans="1:8" ht="12.75">
      <c r="A31" t="s">
        <v>28</v>
      </c>
      <c r="B31" s="12" t="s">
        <v>185</v>
      </c>
      <c r="D31" s="13">
        <f>15.5/50*16</f>
        <v>4.96</v>
      </c>
      <c r="E31" s="13">
        <f>3/50*16</f>
        <v>0.96</v>
      </c>
      <c r="G31" s="5">
        <f>ROUND((D31+IF(C34="DT",D43/2,D43)+1/11)/SUM(D$30:D$46,1)*255,0)</f>
        <v>34</v>
      </c>
      <c r="H31" s="5">
        <f>ROUND((E31+IF(D34="DT",E43/2,E43)+1/11)/SUM(E$30:E$46,1)*255,0)</f>
        <v>7</v>
      </c>
    </row>
    <row r="32" spans="1:8" ht="12.75">
      <c r="A32" t="s">
        <v>29</v>
      </c>
      <c r="B32" s="12" t="s">
        <v>183</v>
      </c>
      <c r="D32" s="13">
        <f>5.5/64*16</f>
        <v>1.375</v>
      </c>
      <c r="E32" s="13">
        <f>3/64*16</f>
        <v>0.75</v>
      </c>
      <c r="G32" s="5">
        <f>ROUND((D32+D42/2+1/11)/SUM(D$30:D$46,1)*255,0)</f>
        <v>10</v>
      </c>
      <c r="H32" s="5">
        <f>ROUND((E32+E42/2+1/11)/SUM(E$30:E$46,1)*255,0)</f>
        <v>6</v>
      </c>
    </row>
    <row r="33" spans="1:8" ht="12.75">
      <c r="A33" t="s">
        <v>30</v>
      </c>
      <c r="B33" s="12" t="s">
        <v>26</v>
      </c>
      <c r="D33" s="13">
        <f>77/162*16</f>
        <v>7.604938271604938</v>
      </c>
      <c r="E33" s="13">
        <f>16/162*16</f>
        <v>1.5802469135802468</v>
      </c>
      <c r="G33" s="5">
        <f>ROUND((D33+IF(C34="DT",D44/3,D44/4)+1/11)/SUM(D$30:D$46,1)*255,0)</f>
        <v>52</v>
      </c>
      <c r="H33" s="5">
        <f>ROUND((E33+IF(D34="DT",E44/3,E44/4)+1/11)/SUM(E$30:E$46,1)*255,0)</f>
        <v>12</v>
      </c>
    </row>
    <row r="34" spans="1:8" ht="12.75">
      <c r="A34" t="s">
        <v>31</v>
      </c>
      <c r="B34" s="12" t="s">
        <v>180</v>
      </c>
      <c r="C34" s="11" t="s">
        <v>177</v>
      </c>
      <c r="D34" s="13">
        <f>20.5/184*16</f>
        <v>1.7826086956521738</v>
      </c>
      <c r="E34" s="13">
        <f>27/184*16</f>
        <v>2.347826086956522</v>
      </c>
      <c r="G34" s="5">
        <f>ROUND((D34+IF(C35="DT",D44/3,D44/4)+1/11)/SUM(D$30:D$46,1)*255,0)</f>
        <v>13</v>
      </c>
      <c r="H34" s="5">
        <f>ROUND((E34+IF(D35="DT",E44/3,E44/4)+1/11)/SUM(E$30:E$46,1)*255,0)</f>
        <v>17</v>
      </c>
    </row>
    <row r="35" spans="1:8" ht="12.75">
      <c r="A35" t="s">
        <v>33</v>
      </c>
      <c r="B35" s="12" t="s">
        <v>179</v>
      </c>
      <c r="D35" s="13">
        <f>13.5/94*16</f>
        <v>2.297872340425532</v>
      </c>
      <c r="E35" s="13">
        <f>7/94*16</f>
        <v>1.1914893617021276</v>
      </c>
      <c r="G35" s="5">
        <f>ROUND((D35+IF(C36="DT",D44/3,D44/4)+1/11)/SUM(D$30:D$46,1)*255,0)</f>
        <v>16</v>
      </c>
      <c r="H35" s="5">
        <f>ROUND((E35+IF(D36="DT",E44/3,E44/4)+1/11)/SUM(E$30:E$46,1)*255,0)</f>
        <v>9</v>
      </c>
    </row>
    <row r="36" spans="1:8" ht="12.75">
      <c r="A36" t="s">
        <v>32</v>
      </c>
      <c r="B36" s="12" t="s">
        <v>178</v>
      </c>
      <c r="D36" s="13">
        <f>53.5/64*16</f>
        <v>13.375</v>
      </c>
      <c r="E36" s="13">
        <f>5/64*16</f>
        <v>1.25</v>
      </c>
      <c r="G36" s="5">
        <f>ROUND((D36+IF(C37="DT",D44/3,D44/4)+1/11)/SUM(D$30:D$46,1)*255,0)</f>
        <v>92</v>
      </c>
      <c r="H36" s="5">
        <f>ROUND((E36+IF(D37="DT",E44/3,E44/4)+1/11)/SUM(E$30:E$46,1)*255,0)</f>
        <v>9</v>
      </c>
    </row>
    <row r="37" spans="1:8" ht="12.75">
      <c r="A37" t="s">
        <v>59</v>
      </c>
      <c r="B37" s="12" t="s">
        <v>35</v>
      </c>
      <c r="D37" s="13">
        <f>2/87*16</f>
        <v>0.367816091954023</v>
      </c>
      <c r="E37" s="13">
        <f>48/87*16</f>
        <v>8.827586206896552</v>
      </c>
      <c r="G37" s="5">
        <f>ROUND((D37+D45/2+1/11)/SUM(D$30:D$46,1)*255,0)</f>
        <v>3</v>
      </c>
      <c r="H37" s="5">
        <f>ROUND((E37+E45/2+1/11)/SUM(E$30:E$46,1)*255,0)</f>
        <v>62</v>
      </c>
    </row>
    <row r="38" spans="1:8" ht="12.75">
      <c r="A38" t="s">
        <v>60</v>
      </c>
      <c r="B38" s="12" t="s">
        <v>182</v>
      </c>
      <c r="D38" s="13">
        <f>2/118*16</f>
        <v>0.2711864406779661</v>
      </c>
      <c r="E38" s="13">
        <f>56/118*16</f>
        <v>7.593220338983051</v>
      </c>
      <c r="G38" s="5">
        <f>ROUND((D38+D45/2+1/11)/SUM(D$30:D$46,1)*255,0)</f>
        <v>2</v>
      </c>
      <c r="H38" s="5">
        <f>ROUND((E38+E45/2+1/11)/SUM(E$30:E$46,1)*255,0)</f>
        <v>54</v>
      </c>
    </row>
    <row r="39" spans="1:8" ht="12.75">
      <c r="A39" t="s">
        <v>61</v>
      </c>
      <c r="B39" s="12" t="s">
        <v>181</v>
      </c>
      <c r="D39" s="13">
        <f>5/86*16</f>
        <v>0.9302325581395349</v>
      </c>
      <c r="E39" s="13">
        <f>27/86*16</f>
        <v>5.023255813953488</v>
      </c>
      <c r="G39" s="5">
        <f>ROUND((D39+D46/2+1/11)/SUM(D$30:D$46,1)*255,0)</f>
        <v>7</v>
      </c>
      <c r="H39" s="5">
        <f>ROUND((E39+E46/2+1/11)/SUM(E$30:E$46,1)*255,0)</f>
        <v>36</v>
      </c>
    </row>
    <row r="40" spans="1:8" ht="12.75">
      <c r="A40" t="s">
        <v>62</v>
      </c>
      <c r="B40" s="12" t="s">
        <v>34</v>
      </c>
      <c r="D40" s="13">
        <f>6.5/98*16</f>
        <v>1.0612244897959184</v>
      </c>
      <c r="E40" s="13">
        <f>32/98*16</f>
        <v>5.224489795918367</v>
      </c>
      <c r="G40" s="5">
        <f>ROUND((D40+D46/2+1/11)/SUM(D$30:D$46,1)*255,0)</f>
        <v>8</v>
      </c>
      <c r="H40" s="5">
        <f>ROUND((E40+E46/2+1/11)/SUM(E$30:E$46,1)*255,0)</f>
        <v>37</v>
      </c>
    </row>
    <row r="41" spans="7:8" ht="13.5" thickBot="1">
      <c r="G41" s="21"/>
      <c r="H41" s="21"/>
    </row>
    <row r="42" spans="3:8" ht="13.5" thickTop="1">
      <c r="C42" t="s">
        <v>36</v>
      </c>
      <c r="D42" s="13">
        <v>0</v>
      </c>
      <c r="E42" s="13">
        <v>0</v>
      </c>
      <c r="G42" s="5">
        <f>SUM(G30:G40)</f>
        <v>255</v>
      </c>
      <c r="H42" s="5">
        <f>SUM(H30:H40)</f>
        <v>255</v>
      </c>
    </row>
    <row r="43" spans="3:5" ht="12.75">
      <c r="C43" t="s">
        <v>37</v>
      </c>
      <c r="D43" s="13">
        <v>0</v>
      </c>
      <c r="E43" s="13">
        <v>0</v>
      </c>
    </row>
    <row r="44" spans="3:5" ht="12.75">
      <c r="C44" t="s">
        <v>38</v>
      </c>
      <c r="D44" s="13">
        <v>0</v>
      </c>
      <c r="E44" s="13">
        <v>0</v>
      </c>
    </row>
    <row r="45" spans="3:5" ht="12.75">
      <c r="C45" t="s">
        <v>39</v>
      </c>
      <c r="D45" s="13">
        <v>0</v>
      </c>
      <c r="E45" s="13">
        <v>0</v>
      </c>
    </row>
    <row r="46" spans="3:5" ht="12.75">
      <c r="C46" t="s">
        <v>40</v>
      </c>
      <c r="D46" s="13">
        <v>0</v>
      </c>
      <c r="E46" s="13">
        <v>0</v>
      </c>
    </row>
    <row r="48" spans="3:7" ht="12.75">
      <c r="C48" s="2" t="s">
        <v>164</v>
      </c>
      <c r="D48" s="29" t="s">
        <v>163</v>
      </c>
      <c r="E48" s="30"/>
      <c r="G48" s="19" t="s">
        <v>21</v>
      </c>
    </row>
    <row r="49" spans="1:7" ht="12.75">
      <c r="A49" t="s">
        <v>157</v>
      </c>
      <c r="B49" s="12" t="s">
        <v>186</v>
      </c>
      <c r="C49" s="11">
        <v>20</v>
      </c>
      <c r="D49" s="26">
        <v>22</v>
      </c>
      <c r="E49" s="27"/>
      <c r="G49" s="20">
        <f>ROUNDDOWN(IF(15/0.5*C49/D49-15&gt;15,15,IF(15/0.5*C49/D49-15&gt;0,15/0.5*C49/D49-15,0)),0)</f>
        <v>12</v>
      </c>
    </row>
    <row r="50" spans="5:7" ht="12.75">
      <c r="E50" s="2"/>
      <c r="G50" s="20"/>
    </row>
    <row r="51" spans="4:7" ht="12.75">
      <c r="D51" s="2" t="s">
        <v>162</v>
      </c>
      <c r="G51" s="19" t="s">
        <v>21</v>
      </c>
    </row>
    <row r="52" spans="1:7" ht="12.75">
      <c r="A52" t="s">
        <v>158</v>
      </c>
      <c r="B52" s="12" t="s">
        <v>161</v>
      </c>
      <c r="D52" s="13">
        <v>49</v>
      </c>
      <c r="G52" s="20">
        <f>ROUNDDOWN(IF(D52+5-40&gt;15,15,IF(D52+5-40&gt;0,D52+5-40,0)),0)</f>
        <v>14</v>
      </c>
    </row>
  </sheetData>
  <sheetProtection sheet="1" objects="1" scenarios="1"/>
  <mergeCells count="5">
    <mergeCell ref="D49:E49"/>
    <mergeCell ref="C25:D25"/>
    <mergeCell ref="C26:D26"/>
    <mergeCell ref="C27:D27"/>
    <mergeCell ref="D48:E48"/>
  </mergeCells>
  <printOptions/>
  <pageMargins left="0.75" right="0.75" top="1" bottom="1" header="0.5" footer="0.5"/>
  <pageSetup horizontalDpi="360" verticalDpi="36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5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2" width="9.57421875" style="0" bestFit="1" customWidth="1"/>
    <col min="3" max="3" width="13.421875" style="0" bestFit="1" customWidth="1"/>
    <col min="4" max="4" width="4.28125" style="0" customWidth="1"/>
    <col min="5" max="6" width="7.28125" style="0" bestFit="1" customWidth="1"/>
    <col min="7" max="7" width="7.7109375" style="0" bestFit="1" customWidth="1"/>
  </cols>
  <sheetData>
    <row r="1" spans="1:7" ht="12.75">
      <c r="A1" s="2" t="s">
        <v>48</v>
      </c>
      <c r="B1" s="2" t="s">
        <v>49</v>
      </c>
      <c r="C1" s="2" t="s">
        <v>50</v>
      </c>
      <c r="D1" s="2"/>
      <c r="F1" s="2" t="s">
        <v>53</v>
      </c>
      <c r="G1" s="2" t="s">
        <v>54</v>
      </c>
    </row>
    <row r="2" spans="1:7" ht="12.75">
      <c r="A2" s="9" t="str">
        <f>Individual!B1</f>
        <v>Dallas 2008-09</v>
      </c>
      <c r="B2" s="11">
        <v>362</v>
      </c>
      <c r="C2" s="11">
        <v>365</v>
      </c>
      <c r="F2" s="6">
        <f>ROUNDDOWN((B2-B5)/(B4-B5)*15,0)</f>
        <v>9</v>
      </c>
      <c r="G2" s="6">
        <f>ROUNDDOWN((C2-C5)/(C4-C5)*15,0)</f>
        <v>7</v>
      </c>
    </row>
    <row r="3" spans="2:3" ht="12.75">
      <c r="B3" s="2"/>
      <c r="C3" s="2"/>
    </row>
    <row r="4" spans="1:3" ht="12.75">
      <c r="A4" t="s">
        <v>51</v>
      </c>
      <c r="B4" s="11">
        <v>463</v>
      </c>
      <c r="C4" s="11">
        <v>223</v>
      </c>
    </row>
    <row r="5" spans="1:3" ht="12.75">
      <c r="A5" t="s">
        <v>52</v>
      </c>
      <c r="B5" s="11">
        <v>204</v>
      </c>
      <c r="C5" s="11">
        <v>517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F31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9.421875" style="0" bestFit="1" customWidth="1"/>
    <col min="3" max="3" width="8.140625" style="0" customWidth="1"/>
    <col min="4" max="4" width="9.28125" style="0" customWidth="1"/>
    <col min="5" max="5" width="13.140625" style="0" customWidth="1"/>
    <col min="6" max="6" width="13.57421875" style="0" bestFit="1" customWidth="1"/>
    <col min="7" max="16384" width="13.28125" style="0" customWidth="1"/>
  </cols>
  <sheetData>
    <row r="1" spans="3:6" ht="12.75">
      <c r="C1" s="2" t="s">
        <v>53</v>
      </c>
      <c r="D1" s="2" t="s">
        <v>54</v>
      </c>
      <c r="E1" t="s">
        <v>159</v>
      </c>
      <c r="F1" t="s">
        <v>166</v>
      </c>
    </row>
    <row r="2" spans="1:6" ht="12.75">
      <c r="A2" t="s">
        <v>0</v>
      </c>
      <c r="B2" t="str">
        <f>Individual!B1</f>
        <v>Dallas 2008-09</v>
      </c>
      <c r="C2" s="8">
        <f>Team!F2</f>
        <v>9</v>
      </c>
      <c r="D2" s="8">
        <f>Team!G2</f>
        <v>7</v>
      </c>
      <c r="E2" s="8" t="str">
        <f>Individual!B5</f>
        <v>Light Passing</v>
      </c>
      <c r="F2" s="2" t="str">
        <f>IF(Individual!C34="DT","43 Defense","34 Defense")</f>
        <v>34 Defense</v>
      </c>
    </row>
    <row r="3" spans="3:5" ht="26.25" customHeight="1">
      <c r="C3" s="7" t="s">
        <v>143</v>
      </c>
      <c r="D3" s="7" t="s">
        <v>144</v>
      </c>
      <c r="E3" s="7" t="s">
        <v>145</v>
      </c>
    </row>
    <row r="4" spans="1:5" ht="12.75">
      <c r="A4" t="s">
        <v>3</v>
      </c>
      <c r="B4" t="str">
        <f>Individual!B8</f>
        <v>Tony Romo</v>
      </c>
      <c r="C4" s="2">
        <f>IF(Individual!N8&gt;15,15,Individual!N8)</f>
        <v>0</v>
      </c>
      <c r="D4" s="2">
        <f>IF(Individual!O8&gt;15,15,Individual!O8)</f>
        <v>8</v>
      </c>
      <c r="E4" s="2">
        <f>IF(Individual!P8&gt;15,15,Individual!P8)</f>
        <v>2</v>
      </c>
    </row>
    <row r="5" spans="1:5" ht="12.75">
      <c r="A5" t="s">
        <v>142</v>
      </c>
      <c r="B5" t="str">
        <f>Individual!B9</f>
        <v>Brad Johnson</v>
      </c>
      <c r="C5" s="2">
        <f>IF(Individual!N9&gt;15,15,Individual!N9)</f>
        <v>0</v>
      </c>
      <c r="D5" s="2">
        <f>IF(Individual!O9&gt;15,15,Individual!O9)</f>
        <v>6</v>
      </c>
      <c r="E5" s="2">
        <f>IF(Individual!P9&gt;15,15,Individual!P9)</f>
        <v>2</v>
      </c>
    </row>
    <row r="6" spans="3:6" ht="28.5" customHeight="1">
      <c r="C6" s="7" t="s">
        <v>143</v>
      </c>
      <c r="D6" s="7" t="s">
        <v>146</v>
      </c>
      <c r="E6" s="7" t="s">
        <v>147</v>
      </c>
      <c r="F6" s="7" t="s">
        <v>148</v>
      </c>
    </row>
    <row r="7" spans="1:6" ht="12.75">
      <c r="A7" t="s">
        <v>4</v>
      </c>
      <c r="B7" t="str">
        <f>Individual!B12</f>
        <v>Marion Barber</v>
      </c>
      <c r="C7" s="2">
        <f>IF(Individual!N12&gt;15,15,Individual!N12)</f>
        <v>6</v>
      </c>
      <c r="D7" s="2">
        <f>IF(Individual!O12&gt;15,15,Individual!O12)</f>
        <v>0</v>
      </c>
      <c r="E7" s="2">
        <f>IF(Individual!P12&gt;15,15,Individual!P12)</f>
        <v>4</v>
      </c>
      <c r="F7" s="2">
        <f>IF(Individual!Q12&gt;15,15,Individual!Q12)</f>
        <v>4</v>
      </c>
    </row>
    <row r="8" spans="1:6" ht="12.75">
      <c r="A8" t="s">
        <v>5</v>
      </c>
      <c r="B8" t="str">
        <f>Individual!B13</f>
        <v>Deon Anderson</v>
      </c>
      <c r="C8" s="2">
        <f>IF(Individual!N13&gt;15,15,Individual!N13)</f>
        <v>0</v>
      </c>
      <c r="D8" s="2">
        <f>IF(Individual!O13&gt;15,15,Individual!O13)</f>
        <v>0</v>
      </c>
      <c r="E8" s="2">
        <f>IF(Individual!P13&gt;15,15,Individual!P13)</f>
        <v>2</v>
      </c>
      <c r="F8" s="2">
        <f>IF(Individual!Q13&gt;15,15,Individual!Q13)</f>
        <v>0</v>
      </c>
    </row>
    <row r="9" spans="1:6" ht="12.75">
      <c r="A9" t="s">
        <v>149</v>
      </c>
      <c r="B9" t="str">
        <f>Individual!B14</f>
        <v>Felix Jones</v>
      </c>
      <c r="C9" s="2">
        <f>IF(Individual!N14&gt;15,15,Individual!N14)</f>
        <v>5</v>
      </c>
      <c r="D9" s="2">
        <f>IF(Individual!O14&gt;15,15,Individual!O14)</f>
        <v>0</v>
      </c>
      <c r="E9" s="2">
        <f>IF(Individual!P14&gt;15,15,Individual!P14)</f>
        <v>8</v>
      </c>
      <c r="F9" s="2">
        <f>IF(Individual!Q14&gt;15,15,Individual!Q14)</f>
        <v>0</v>
      </c>
    </row>
    <row r="10" spans="1:6" ht="12.75">
      <c r="A10" t="s">
        <v>150</v>
      </c>
      <c r="B10" t="str">
        <f>Individual!B15</f>
        <v>Tashard Choice</v>
      </c>
      <c r="C10" s="2">
        <f>IF(Individual!N15&gt;15,15,Individual!N15)</f>
        <v>3</v>
      </c>
      <c r="D10" s="2">
        <f>IF(Individual!O15&gt;15,15,Individual!O15)</f>
        <v>0</v>
      </c>
      <c r="E10" s="2">
        <f>IF(Individual!P15&gt;15,15,Individual!P15)</f>
        <v>5</v>
      </c>
      <c r="F10" s="2">
        <f>IF(Individual!Q15&gt;15,15,Individual!Q15)</f>
        <v>2</v>
      </c>
    </row>
    <row r="11" spans="1:6" ht="12.75">
      <c r="A11" t="s">
        <v>6</v>
      </c>
      <c r="B11" t="str">
        <f>Individual!B17</f>
        <v>Terrell Owens</v>
      </c>
      <c r="C11" s="2">
        <f>IF(Individual!N17&gt;15,15,Individual!N17)</f>
        <v>0</v>
      </c>
      <c r="D11" s="2">
        <f>IF(Individual!O17&gt;15,15,Individual!O17)</f>
        <v>11</v>
      </c>
      <c r="E11" s="2">
        <f>IF(Individual!P17&gt;15,15,Individual!P17)</f>
        <v>7</v>
      </c>
      <c r="F11" s="2">
        <f>IF(Individual!Q17&gt;15,15,Individual!Q17)</f>
        <v>10</v>
      </c>
    </row>
    <row r="12" spans="1:6" ht="12.75">
      <c r="A12" t="s">
        <v>7</v>
      </c>
      <c r="B12" t="str">
        <f>Individual!B18</f>
        <v>Roy Williams</v>
      </c>
      <c r="C12" s="2">
        <f>IF(Individual!N18&gt;15,15,Individual!N18)</f>
        <v>0</v>
      </c>
      <c r="D12" s="2">
        <f>IF(Individual!O18&gt;15,15,Individual!O18)</f>
        <v>6</v>
      </c>
      <c r="E12" s="2">
        <f>IF(Individual!P18&gt;15,15,Individual!P18)</f>
        <v>7</v>
      </c>
      <c r="F12" s="2">
        <f>IF(Individual!Q18&gt;15,15,Individual!Q18)</f>
        <v>8</v>
      </c>
    </row>
    <row r="13" spans="1:6" ht="12.75">
      <c r="A13" t="s">
        <v>151</v>
      </c>
      <c r="B13" t="str">
        <f>Individual!B19</f>
        <v>Patrick Crayton</v>
      </c>
      <c r="C13" s="2">
        <f>IF(Individual!N19&gt;15,15,Individual!N19)</f>
        <v>0</v>
      </c>
      <c r="D13" s="2">
        <f>IF(Individual!O19&gt;15,15,Individual!O19)</f>
        <v>4</v>
      </c>
      <c r="E13" s="2">
        <f>IF(Individual!P19&gt;15,15,Individual!P19)</f>
        <v>7</v>
      </c>
      <c r="F13" s="2">
        <f>IF(Individual!Q19&gt;15,15,Individual!Q19)</f>
        <v>5</v>
      </c>
    </row>
    <row r="14" spans="1:6" ht="12.75">
      <c r="A14" t="s">
        <v>152</v>
      </c>
      <c r="B14" t="str">
        <f>Individual!B20</f>
        <v>Miles Austin</v>
      </c>
      <c r="C14" s="2">
        <f>IF(Individual!N20&gt;15,15,Individual!N20)</f>
        <v>0</v>
      </c>
      <c r="D14" s="2">
        <f>IF(Individual!O20&gt;15,15,Individual!O20)</f>
        <v>1</v>
      </c>
      <c r="E14" s="2">
        <f>IF(Individual!P20&gt;15,15,Individual!P20)</f>
        <v>9</v>
      </c>
      <c r="F14" s="2">
        <f>IF(Individual!Q20&gt;15,15,Individual!Q20)</f>
        <v>1</v>
      </c>
    </row>
    <row r="15" spans="1:6" ht="12.75">
      <c r="A15" t="s">
        <v>8</v>
      </c>
      <c r="B15" t="str">
        <f>Individual!B22</f>
        <v>Jason Witten</v>
      </c>
      <c r="C15" s="2">
        <f>IF(Individual!N22&gt;15,15,Individual!N22)</f>
        <v>0</v>
      </c>
      <c r="D15" s="2">
        <f>IF(Individual!O22&gt;15,15,Individual!O22)</f>
        <v>4</v>
      </c>
      <c r="E15" s="2">
        <f>IF(Individual!P22&gt;15,15,Individual!P22)</f>
        <v>5</v>
      </c>
      <c r="F15" s="2">
        <f>IF(Individual!Q22&gt;15,15,Individual!Q22)</f>
        <v>9</v>
      </c>
    </row>
    <row r="16" spans="1:6" ht="12.75">
      <c r="A16" t="s">
        <v>155</v>
      </c>
      <c r="B16" t="str">
        <f>Individual!B23</f>
        <v>Marcellus Bennett</v>
      </c>
      <c r="C16" s="2">
        <f>IF(Individual!N23&gt;15,15,Individual!N23)</f>
        <v>0</v>
      </c>
      <c r="D16" s="2">
        <f>IF(Individual!O23&gt;15,15,Individual!O23)</f>
        <v>4</v>
      </c>
      <c r="E16" s="2">
        <f>IF(Individual!P23&gt;15,15,Individual!P23)</f>
        <v>7</v>
      </c>
      <c r="F16" s="2">
        <f>IF(Individual!Q23&gt;15,15,Individual!Q23)</f>
        <v>2</v>
      </c>
    </row>
    <row r="17" spans="3:4" ht="25.5">
      <c r="C17" s="7" t="s">
        <v>153</v>
      </c>
      <c r="D17" s="7" t="s">
        <v>154</v>
      </c>
    </row>
    <row r="18" spans="1:4" ht="12.75">
      <c r="A18" t="s">
        <v>27</v>
      </c>
      <c r="B18" t="str">
        <f>Individual!B30</f>
        <v>Chris Canty</v>
      </c>
      <c r="C18" s="2">
        <f>Individual!G30</f>
        <v>18</v>
      </c>
      <c r="D18" s="2">
        <f>Individual!H30</f>
        <v>6</v>
      </c>
    </row>
    <row r="19" spans="1:4" ht="12.75">
      <c r="A19" t="s">
        <v>28</v>
      </c>
      <c r="B19" t="str">
        <f>Individual!B31</f>
        <v>Jay Ratliff</v>
      </c>
      <c r="C19" s="2">
        <f>Individual!G31</f>
        <v>34</v>
      </c>
      <c r="D19" s="2">
        <f>Individual!H31</f>
        <v>7</v>
      </c>
    </row>
    <row r="20" spans="1:4" ht="12.75">
      <c r="A20" t="s">
        <v>29</v>
      </c>
      <c r="B20" t="str">
        <f>Individual!B32</f>
        <v>Marcus Spears</v>
      </c>
      <c r="C20" s="2">
        <f>Individual!G32</f>
        <v>10</v>
      </c>
      <c r="D20" s="2">
        <f>Individual!H32</f>
        <v>6</v>
      </c>
    </row>
    <row r="21" spans="1:4" ht="12.75">
      <c r="A21" t="s">
        <v>30</v>
      </c>
      <c r="B21" t="str">
        <f>Individual!B33</f>
        <v>Greg Ellis</v>
      </c>
      <c r="C21" s="2">
        <f>Individual!G33</f>
        <v>52</v>
      </c>
      <c r="D21" s="2">
        <f>Individual!H33</f>
        <v>12</v>
      </c>
    </row>
    <row r="22" spans="1:4" ht="12.75">
      <c r="A22" t="s">
        <v>31</v>
      </c>
      <c r="B22" t="str">
        <f>Individual!B34</f>
        <v>Zach Thomas</v>
      </c>
      <c r="C22" s="2">
        <f>Individual!G34</f>
        <v>13</v>
      </c>
      <c r="D22" s="2">
        <f>Individual!H34</f>
        <v>17</v>
      </c>
    </row>
    <row r="23" spans="1:4" ht="12.75">
      <c r="A23" t="s">
        <v>33</v>
      </c>
      <c r="B23" t="str">
        <f>Individual!B35</f>
        <v>Bradie James</v>
      </c>
      <c r="C23" s="2">
        <f>Individual!G35</f>
        <v>16</v>
      </c>
      <c r="D23" s="2">
        <f>Individual!H35</f>
        <v>9</v>
      </c>
    </row>
    <row r="24" spans="1:4" ht="12.75">
      <c r="A24" t="s">
        <v>32</v>
      </c>
      <c r="B24" t="str">
        <f>Individual!B36</f>
        <v>Demarcus Ware</v>
      </c>
      <c r="C24" s="2">
        <f>Individual!G36</f>
        <v>92</v>
      </c>
      <c r="D24" s="2">
        <f>Individual!H36</f>
        <v>9</v>
      </c>
    </row>
    <row r="25" spans="1:4" ht="12.75">
      <c r="A25" t="s">
        <v>59</v>
      </c>
      <c r="B25" t="str">
        <f>Individual!B37</f>
        <v>Terence Newman</v>
      </c>
      <c r="C25" s="2">
        <f>Individual!G37</f>
        <v>3</v>
      </c>
      <c r="D25" s="2">
        <f>Individual!H37</f>
        <v>62</v>
      </c>
    </row>
    <row r="26" spans="1:4" ht="12.75">
      <c r="A26" t="s">
        <v>60</v>
      </c>
      <c r="B26" t="str">
        <f>Individual!B38</f>
        <v>Anthony Henry</v>
      </c>
      <c r="C26" s="2">
        <f>Individual!G38</f>
        <v>2</v>
      </c>
      <c r="D26" s="2">
        <f>Individual!H38</f>
        <v>54</v>
      </c>
    </row>
    <row r="27" spans="1:4" ht="12.75">
      <c r="A27" t="s">
        <v>61</v>
      </c>
      <c r="B27" t="str">
        <f>Individual!B39</f>
        <v>Ken Hamlin</v>
      </c>
      <c r="C27" s="2">
        <f>Individual!G39</f>
        <v>7</v>
      </c>
      <c r="D27" s="2">
        <f>Individual!H39</f>
        <v>36</v>
      </c>
    </row>
    <row r="28" spans="1:4" ht="12.75">
      <c r="A28" t="s">
        <v>62</v>
      </c>
      <c r="B28" t="str">
        <f>Individual!B40</f>
        <v>Roy Williams</v>
      </c>
      <c r="C28" s="2">
        <f>Individual!G40</f>
        <v>8</v>
      </c>
      <c r="D28" s="2">
        <f>Individual!H40</f>
        <v>37</v>
      </c>
    </row>
    <row r="29" ht="25.5">
      <c r="C29" s="7" t="s">
        <v>156</v>
      </c>
    </row>
    <row r="30" spans="1:3" ht="12.75">
      <c r="A30" t="s">
        <v>157</v>
      </c>
      <c r="B30" t="str">
        <f>Individual!B49</f>
        <v>Nick Folk</v>
      </c>
      <c r="C30" s="8">
        <f>IF(Individual!G49&gt;15,15,Individual!G49)</f>
        <v>12</v>
      </c>
    </row>
    <row r="31" spans="1:3" ht="12.75">
      <c r="A31" t="s">
        <v>158</v>
      </c>
      <c r="B31" t="str">
        <f>Individual!B52</f>
        <v>Mat McBriar</v>
      </c>
      <c r="C31" s="8">
        <f>IF(Individual!G52&gt;15,15,Individual!G52)</f>
        <v>14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D166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bestFit="1" customWidth="1"/>
    <col min="2" max="2" width="16.57421875" style="0" bestFit="1" customWidth="1"/>
    <col min="3" max="3" width="14.421875" style="0" bestFit="1" customWidth="1"/>
    <col min="4" max="4" width="16.28125" style="0" bestFit="1" customWidth="1"/>
  </cols>
  <sheetData>
    <row r="1" spans="1:4" ht="20.25">
      <c r="A1" s="31" t="s">
        <v>64</v>
      </c>
      <c r="B1" s="31"/>
      <c r="C1" s="31"/>
      <c r="D1" s="31"/>
    </row>
    <row r="3" spans="1:4" ht="12.75">
      <c r="A3" t="s">
        <v>65</v>
      </c>
      <c r="B3" t="s">
        <v>66</v>
      </c>
      <c r="C3" t="s">
        <v>67</v>
      </c>
      <c r="D3" t="s">
        <v>68</v>
      </c>
    </row>
    <row r="4" spans="1:4" ht="12.75">
      <c r="A4" t="s">
        <v>69</v>
      </c>
      <c r="B4" t="s">
        <v>70</v>
      </c>
      <c r="C4" t="s">
        <v>71</v>
      </c>
      <c r="D4" t="s">
        <v>72</v>
      </c>
    </row>
    <row r="6" spans="1:4" ht="12.75">
      <c r="A6" t="s">
        <v>65</v>
      </c>
      <c r="B6" t="s">
        <v>66</v>
      </c>
      <c r="C6" t="s">
        <v>67</v>
      </c>
      <c r="D6" t="s">
        <v>68</v>
      </c>
    </row>
    <row r="7" spans="1:4" ht="12.75">
      <c r="A7" t="s">
        <v>69</v>
      </c>
      <c r="B7" t="s">
        <v>70</v>
      </c>
      <c r="C7" t="s">
        <v>73</v>
      </c>
      <c r="D7" t="s">
        <v>72</v>
      </c>
    </row>
    <row r="9" spans="1:4" ht="12.75">
      <c r="A9" t="s">
        <v>65</v>
      </c>
      <c r="B9" t="s">
        <v>66</v>
      </c>
      <c r="C9" t="s">
        <v>67</v>
      </c>
      <c r="D9" t="s">
        <v>74</v>
      </c>
    </row>
    <row r="10" spans="1:4" ht="12.75">
      <c r="A10" t="s">
        <v>75</v>
      </c>
      <c r="B10" t="s">
        <v>70</v>
      </c>
      <c r="C10" t="s">
        <v>71</v>
      </c>
      <c r="D10" t="s">
        <v>72</v>
      </c>
    </row>
    <row r="12" spans="1:4" ht="12.75">
      <c r="A12" t="s">
        <v>65</v>
      </c>
      <c r="B12" t="s">
        <v>66</v>
      </c>
      <c r="C12" t="s">
        <v>76</v>
      </c>
      <c r="D12" t="s">
        <v>74</v>
      </c>
    </row>
    <row r="13" spans="1:4" ht="12.75">
      <c r="A13" t="s">
        <v>75</v>
      </c>
      <c r="B13" t="s">
        <v>70</v>
      </c>
      <c r="C13" t="s">
        <v>71</v>
      </c>
      <c r="D13" t="s">
        <v>72</v>
      </c>
    </row>
    <row r="15" spans="1:4" ht="12.75">
      <c r="A15" t="s">
        <v>65</v>
      </c>
      <c r="B15" t="s">
        <v>77</v>
      </c>
      <c r="C15" t="s">
        <v>67</v>
      </c>
      <c r="D15" t="s">
        <v>68</v>
      </c>
    </row>
    <row r="16" spans="1:4" ht="12.75">
      <c r="A16" t="s">
        <v>78</v>
      </c>
      <c r="B16" t="s">
        <v>79</v>
      </c>
      <c r="C16" t="s">
        <v>73</v>
      </c>
      <c r="D16" t="s">
        <v>72</v>
      </c>
    </row>
    <row r="18" spans="1:4" ht="12.75">
      <c r="A18" t="s">
        <v>65</v>
      </c>
      <c r="B18" t="s">
        <v>77</v>
      </c>
      <c r="C18" t="s">
        <v>80</v>
      </c>
      <c r="D18" t="s">
        <v>68</v>
      </c>
    </row>
    <row r="19" spans="1:4" ht="12.75">
      <c r="A19" t="s">
        <v>75</v>
      </c>
      <c r="B19" t="s">
        <v>70</v>
      </c>
      <c r="C19" t="s">
        <v>73</v>
      </c>
      <c r="D19" t="s">
        <v>81</v>
      </c>
    </row>
    <row r="21" spans="1:4" ht="12.75">
      <c r="A21" t="s">
        <v>65</v>
      </c>
      <c r="B21" t="s">
        <v>82</v>
      </c>
      <c r="C21" t="s">
        <v>80</v>
      </c>
      <c r="D21" t="s">
        <v>68</v>
      </c>
    </row>
    <row r="22" spans="1:4" ht="12.75">
      <c r="A22" t="s">
        <v>78</v>
      </c>
      <c r="B22" t="s">
        <v>70</v>
      </c>
      <c r="C22" t="s">
        <v>83</v>
      </c>
      <c r="D22" t="s">
        <v>81</v>
      </c>
    </row>
    <row r="24" spans="1:4" ht="20.25">
      <c r="A24" s="32" t="s">
        <v>131</v>
      </c>
      <c r="B24" s="32"/>
      <c r="C24" s="32"/>
      <c r="D24" s="32"/>
    </row>
    <row r="26" spans="1:4" ht="12.75">
      <c r="A26" t="s">
        <v>84</v>
      </c>
      <c r="B26" t="s">
        <v>85</v>
      </c>
      <c r="C26" t="s">
        <v>86</v>
      </c>
      <c r="D26" t="s">
        <v>87</v>
      </c>
    </row>
    <row r="27" spans="1:4" ht="12.75">
      <c r="A27" t="s">
        <v>88</v>
      </c>
      <c r="B27" t="s">
        <v>89</v>
      </c>
      <c r="C27" t="s">
        <v>90</v>
      </c>
      <c r="D27" t="s">
        <v>91</v>
      </c>
    </row>
    <row r="29" spans="1:4" ht="12.75">
      <c r="A29" t="s">
        <v>84</v>
      </c>
      <c r="B29" t="s">
        <v>85</v>
      </c>
      <c r="C29" t="s">
        <v>86</v>
      </c>
      <c r="D29" t="s">
        <v>87</v>
      </c>
    </row>
    <row r="30" spans="1:4" ht="12.75">
      <c r="A30" t="s">
        <v>88</v>
      </c>
      <c r="B30" t="s">
        <v>92</v>
      </c>
      <c r="C30" t="s">
        <v>90</v>
      </c>
      <c r="D30" t="s">
        <v>91</v>
      </c>
    </row>
    <row r="32" spans="1:4" ht="12.75">
      <c r="A32" t="s">
        <v>84</v>
      </c>
      <c r="B32" t="s">
        <v>85</v>
      </c>
      <c r="C32" t="s">
        <v>86</v>
      </c>
      <c r="D32" t="s">
        <v>93</v>
      </c>
    </row>
    <row r="33" spans="1:4" ht="12.75">
      <c r="A33" t="s">
        <v>88</v>
      </c>
      <c r="B33" t="s">
        <v>92</v>
      </c>
      <c r="C33" t="s">
        <v>83</v>
      </c>
      <c r="D33" t="s">
        <v>94</v>
      </c>
    </row>
    <row r="35" spans="1:4" ht="12.75">
      <c r="A35" t="s">
        <v>84</v>
      </c>
      <c r="B35" t="s">
        <v>85</v>
      </c>
      <c r="C35" t="s">
        <v>95</v>
      </c>
      <c r="D35" t="s">
        <v>96</v>
      </c>
    </row>
    <row r="36" spans="1:4" ht="12.75">
      <c r="A36" t="s">
        <v>88</v>
      </c>
      <c r="B36" t="s">
        <v>92</v>
      </c>
      <c r="C36" t="s">
        <v>83</v>
      </c>
      <c r="D36" t="s">
        <v>97</v>
      </c>
    </row>
    <row r="38" spans="1:4" ht="12.75">
      <c r="A38" t="s">
        <v>84</v>
      </c>
      <c r="B38" t="s">
        <v>85</v>
      </c>
      <c r="C38" t="s">
        <v>95</v>
      </c>
      <c r="D38" t="s">
        <v>96</v>
      </c>
    </row>
    <row r="39" spans="1:4" ht="12.75">
      <c r="A39" t="s">
        <v>88</v>
      </c>
      <c r="B39" t="s">
        <v>92</v>
      </c>
      <c r="C39" t="s">
        <v>71</v>
      </c>
      <c r="D39" t="s">
        <v>94</v>
      </c>
    </row>
    <row r="41" spans="1:4" ht="12.75">
      <c r="A41" t="s">
        <v>84</v>
      </c>
      <c r="B41" t="s">
        <v>98</v>
      </c>
      <c r="C41" t="s">
        <v>76</v>
      </c>
      <c r="D41" t="s">
        <v>99</v>
      </c>
    </row>
    <row r="42" spans="1:4" ht="12.75">
      <c r="A42" t="s">
        <v>69</v>
      </c>
      <c r="B42" t="s">
        <v>79</v>
      </c>
      <c r="C42" t="s">
        <v>83</v>
      </c>
      <c r="D42" t="s">
        <v>94</v>
      </c>
    </row>
    <row r="44" spans="1:4" ht="12.75">
      <c r="A44" t="s">
        <v>84</v>
      </c>
      <c r="B44" t="s">
        <v>98</v>
      </c>
      <c r="C44" t="s">
        <v>67</v>
      </c>
      <c r="D44" t="s">
        <v>68</v>
      </c>
    </row>
    <row r="45" spans="1:4" ht="12.75">
      <c r="A45" t="s">
        <v>100</v>
      </c>
      <c r="B45" t="s">
        <v>92</v>
      </c>
      <c r="C45" t="s">
        <v>90</v>
      </c>
      <c r="D45" t="s">
        <v>72</v>
      </c>
    </row>
    <row r="47" spans="1:4" ht="12.75">
      <c r="A47" t="s">
        <v>84</v>
      </c>
      <c r="B47" t="s">
        <v>82</v>
      </c>
      <c r="C47" t="s">
        <v>86</v>
      </c>
      <c r="D47" t="s">
        <v>93</v>
      </c>
    </row>
    <row r="48" spans="1:4" ht="12.75">
      <c r="A48" t="s">
        <v>88</v>
      </c>
      <c r="B48" t="s">
        <v>92</v>
      </c>
      <c r="C48" t="s">
        <v>83</v>
      </c>
      <c r="D48" t="s">
        <v>81</v>
      </c>
    </row>
    <row r="50" spans="1:4" ht="12.75">
      <c r="A50" t="s">
        <v>84</v>
      </c>
      <c r="B50" t="s">
        <v>101</v>
      </c>
      <c r="C50" t="s">
        <v>102</v>
      </c>
      <c r="D50" t="s">
        <v>103</v>
      </c>
    </row>
    <row r="51" spans="1:4" ht="12.75">
      <c r="A51" t="s">
        <v>88</v>
      </c>
      <c r="B51" t="s">
        <v>104</v>
      </c>
      <c r="C51" t="s">
        <v>105</v>
      </c>
      <c r="D51" t="s">
        <v>106</v>
      </c>
    </row>
    <row r="53" spans="1:4" ht="20.25">
      <c r="A53" s="32" t="s">
        <v>107</v>
      </c>
      <c r="B53" s="32"/>
      <c r="C53" s="32"/>
      <c r="D53" s="32"/>
    </row>
    <row r="55" spans="1:4" ht="12.75">
      <c r="A55" t="s">
        <v>108</v>
      </c>
      <c r="B55" t="s">
        <v>109</v>
      </c>
      <c r="C55" t="s">
        <v>80</v>
      </c>
      <c r="D55" t="s">
        <v>74</v>
      </c>
    </row>
    <row r="56" spans="1:4" ht="12.75">
      <c r="A56" t="s">
        <v>110</v>
      </c>
      <c r="B56" t="s">
        <v>104</v>
      </c>
      <c r="C56" t="s">
        <v>111</v>
      </c>
      <c r="D56" t="s">
        <v>72</v>
      </c>
    </row>
    <row r="58" spans="1:4" ht="12.75">
      <c r="A58" t="s">
        <v>108</v>
      </c>
      <c r="B58" t="s">
        <v>109</v>
      </c>
      <c r="C58" t="s">
        <v>80</v>
      </c>
      <c r="D58" t="s">
        <v>99</v>
      </c>
    </row>
    <row r="59" spans="1:4" ht="12.75">
      <c r="A59" t="s">
        <v>110</v>
      </c>
      <c r="B59" t="s">
        <v>79</v>
      </c>
      <c r="C59" t="s">
        <v>83</v>
      </c>
      <c r="D59" t="s">
        <v>72</v>
      </c>
    </row>
    <row r="61" spans="1:4" ht="12.75">
      <c r="A61" t="s">
        <v>108</v>
      </c>
      <c r="B61" t="s">
        <v>109</v>
      </c>
      <c r="C61" t="s">
        <v>80</v>
      </c>
      <c r="D61" t="s">
        <v>99</v>
      </c>
    </row>
    <row r="62" spans="1:4" ht="12.75">
      <c r="A62" t="s">
        <v>110</v>
      </c>
      <c r="B62" t="s">
        <v>79</v>
      </c>
      <c r="C62" t="s">
        <v>71</v>
      </c>
      <c r="D62" t="s">
        <v>81</v>
      </c>
    </row>
    <row r="64" spans="1:4" ht="12.75">
      <c r="A64" t="s">
        <v>108</v>
      </c>
      <c r="B64" t="s">
        <v>98</v>
      </c>
      <c r="C64" t="s">
        <v>67</v>
      </c>
      <c r="D64" t="s">
        <v>68</v>
      </c>
    </row>
    <row r="65" spans="1:4" ht="12.75">
      <c r="A65" t="s">
        <v>78</v>
      </c>
      <c r="B65" t="s">
        <v>79</v>
      </c>
      <c r="C65" t="s">
        <v>112</v>
      </c>
      <c r="D65" t="s">
        <v>72</v>
      </c>
    </row>
    <row r="67" spans="1:4" ht="12.75">
      <c r="A67" t="s">
        <v>108</v>
      </c>
      <c r="B67" t="s">
        <v>98</v>
      </c>
      <c r="C67" t="s">
        <v>76</v>
      </c>
      <c r="D67" t="s">
        <v>68</v>
      </c>
    </row>
    <row r="68" spans="1:4" ht="12.75">
      <c r="A68" t="s">
        <v>78</v>
      </c>
      <c r="B68" t="s">
        <v>113</v>
      </c>
      <c r="C68" t="s">
        <v>73</v>
      </c>
      <c r="D68" t="s">
        <v>81</v>
      </c>
    </row>
    <row r="70" spans="1:4" ht="12.75">
      <c r="A70" t="s">
        <v>108</v>
      </c>
      <c r="B70" t="s">
        <v>66</v>
      </c>
      <c r="C70" t="s">
        <v>67</v>
      </c>
      <c r="D70" t="s">
        <v>87</v>
      </c>
    </row>
    <row r="71" spans="1:4" ht="12.75">
      <c r="A71" t="s">
        <v>69</v>
      </c>
      <c r="B71" t="s">
        <v>104</v>
      </c>
      <c r="C71" t="s">
        <v>90</v>
      </c>
      <c r="D71" t="s">
        <v>91</v>
      </c>
    </row>
    <row r="73" spans="1:4" ht="12.75">
      <c r="A73" t="s">
        <v>114</v>
      </c>
      <c r="B73" t="s">
        <v>101</v>
      </c>
      <c r="C73" t="s">
        <v>102</v>
      </c>
      <c r="D73" t="s">
        <v>103</v>
      </c>
    </row>
    <row r="74" spans="1:4" ht="12.75">
      <c r="A74" t="s">
        <v>88</v>
      </c>
      <c r="B74" t="s">
        <v>115</v>
      </c>
      <c r="C74" t="s">
        <v>105</v>
      </c>
      <c r="D74" t="s">
        <v>106</v>
      </c>
    </row>
    <row r="76" spans="1:4" ht="12.75">
      <c r="A76" t="s">
        <v>114</v>
      </c>
      <c r="B76" t="s">
        <v>66</v>
      </c>
      <c r="C76" t="s">
        <v>67</v>
      </c>
      <c r="D76" t="s">
        <v>116</v>
      </c>
    </row>
    <row r="77" spans="1:4" ht="12.75">
      <c r="A77" t="s">
        <v>69</v>
      </c>
      <c r="B77" t="s">
        <v>115</v>
      </c>
      <c r="C77" t="s">
        <v>71</v>
      </c>
      <c r="D77" t="s">
        <v>91</v>
      </c>
    </row>
    <row r="79" spans="1:4" ht="12.75">
      <c r="A79" t="s">
        <v>114</v>
      </c>
      <c r="B79" t="s">
        <v>98</v>
      </c>
      <c r="C79" t="s">
        <v>76</v>
      </c>
      <c r="D79" t="s">
        <v>99</v>
      </c>
    </row>
    <row r="80" spans="1:4" ht="12.75">
      <c r="A80" t="s">
        <v>117</v>
      </c>
      <c r="B80" t="s">
        <v>115</v>
      </c>
      <c r="C80" t="s">
        <v>71</v>
      </c>
      <c r="D80" t="s">
        <v>72</v>
      </c>
    </row>
    <row r="82" spans="1:4" ht="12.75">
      <c r="A82" t="s">
        <v>118</v>
      </c>
      <c r="B82" t="s">
        <v>101</v>
      </c>
      <c r="C82" t="s">
        <v>102</v>
      </c>
      <c r="D82" t="s">
        <v>103</v>
      </c>
    </row>
    <row r="83" spans="1:4" ht="12.75">
      <c r="A83" t="s">
        <v>110</v>
      </c>
      <c r="B83" t="s">
        <v>104</v>
      </c>
      <c r="C83" t="s">
        <v>105</v>
      </c>
      <c r="D83" t="s">
        <v>119</v>
      </c>
    </row>
    <row r="85" spans="1:4" ht="12.75">
      <c r="A85" t="s">
        <v>118</v>
      </c>
      <c r="B85" t="s">
        <v>101</v>
      </c>
      <c r="C85" t="s">
        <v>102</v>
      </c>
      <c r="D85" t="s">
        <v>74</v>
      </c>
    </row>
    <row r="86" spans="1:4" ht="12.75">
      <c r="A86" t="s">
        <v>110</v>
      </c>
      <c r="B86" t="s">
        <v>104</v>
      </c>
      <c r="C86" t="s">
        <v>71</v>
      </c>
      <c r="D86" t="s">
        <v>91</v>
      </c>
    </row>
    <row r="88" spans="1:4" ht="12.75">
      <c r="A88" t="s">
        <v>120</v>
      </c>
      <c r="B88" t="s">
        <v>121</v>
      </c>
      <c r="C88" t="s">
        <v>122</v>
      </c>
      <c r="D88" t="s">
        <v>103</v>
      </c>
    </row>
    <row r="89" spans="1:4" ht="12.75">
      <c r="A89" t="s">
        <v>123</v>
      </c>
      <c r="B89" t="s">
        <v>124</v>
      </c>
      <c r="C89" t="s">
        <v>105</v>
      </c>
      <c r="D89" t="s">
        <v>106</v>
      </c>
    </row>
    <row r="91" spans="1:4" ht="20.25">
      <c r="A91" s="32" t="s">
        <v>125</v>
      </c>
      <c r="B91" s="32"/>
      <c r="C91" s="32"/>
      <c r="D91" s="32"/>
    </row>
    <row r="93" spans="1:4" ht="12.75">
      <c r="A93" t="s">
        <v>126</v>
      </c>
      <c r="B93" t="s">
        <v>66</v>
      </c>
      <c r="C93" t="s">
        <v>67</v>
      </c>
      <c r="D93" t="s">
        <v>99</v>
      </c>
    </row>
    <row r="94" spans="1:4" ht="12.75">
      <c r="A94" t="s">
        <v>100</v>
      </c>
      <c r="B94" t="s">
        <v>89</v>
      </c>
      <c r="C94" t="s">
        <v>73</v>
      </c>
      <c r="D94" t="s">
        <v>97</v>
      </c>
    </row>
    <row r="96" spans="1:4" ht="12.75">
      <c r="A96" t="s">
        <v>126</v>
      </c>
      <c r="B96" t="s">
        <v>66</v>
      </c>
      <c r="C96" t="s">
        <v>67</v>
      </c>
      <c r="D96" t="s">
        <v>99</v>
      </c>
    </row>
    <row r="97" spans="1:4" ht="12.75">
      <c r="A97" t="s">
        <v>75</v>
      </c>
      <c r="B97" t="s">
        <v>79</v>
      </c>
      <c r="C97" t="s">
        <v>73</v>
      </c>
      <c r="D97" t="s">
        <v>97</v>
      </c>
    </row>
    <row r="99" spans="1:4" ht="12.75">
      <c r="A99" t="s">
        <v>126</v>
      </c>
      <c r="B99" t="s">
        <v>66</v>
      </c>
      <c r="C99" t="s">
        <v>67</v>
      </c>
      <c r="D99" t="s">
        <v>99</v>
      </c>
    </row>
    <row r="100" spans="1:4" ht="12.75">
      <c r="A100" t="s">
        <v>75</v>
      </c>
      <c r="B100" t="s">
        <v>79</v>
      </c>
      <c r="C100" t="s">
        <v>73</v>
      </c>
      <c r="D100" t="s">
        <v>72</v>
      </c>
    </row>
    <row r="102" spans="1:4" ht="12.75">
      <c r="A102" t="s">
        <v>126</v>
      </c>
      <c r="B102" t="s">
        <v>66</v>
      </c>
      <c r="C102" t="s">
        <v>67</v>
      </c>
      <c r="D102" t="s">
        <v>74</v>
      </c>
    </row>
    <row r="103" spans="1:4" ht="12.75">
      <c r="A103" t="s">
        <v>75</v>
      </c>
      <c r="B103" t="s">
        <v>89</v>
      </c>
      <c r="C103" t="s">
        <v>73</v>
      </c>
      <c r="D103" t="s">
        <v>97</v>
      </c>
    </row>
    <row r="105" spans="1:4" ht="12.75">
      <c r="A105" t="s">
        <v>126</v>
      </c>
      <c r="B105" t="s">
        <v>66</v>
      </c>
      <c r="C105" t="s">
        <v>67</v>
      </c>
      <c r="D105" t="s">
        <v>74</v>
      </c>
    </row>
    <row r="106" spans="1:4" ht="12.75">
      <c r="A106" t="s">
        <v>75</v>
      </c>
      <c r="B106" t="s">
        <v>89</v>
      </c>
      <c r="C106" t="s">
        <v>73</v>
      </c>
      <c r="D106" t="s">
        <v>72</v>
      </c>
    </row>
    <row r="108" spans="1:4" ht="12.75">
      <c r="A108" t="s">
        <v>126</v>
      </c>
      <c r="B108" t="s">
        <v>66</v>
      </c>
      <c r="C108" t="s">
        <v>67</v>
      </c>
      <c r="D108" t="s">
        <v>87</v>
      </c>
    </row>
    <row r="109" spans="1:4" ht="12.75">
      <c r="A109" t="s">
        <v>88</v>
      </c>
      <c r="B109" t="s">
        <v>79</v>
      </c>
      <c r="C109" t="s">
        <v>90</v>
      </c>
      <c r="D109" t="s">
        <v>97</v>
      </c>
    </row>
    <row r="111" spans="1:4" ht="12.75">
      <c r="A111" t="s">
        <v>126</v>
      </c>
      <c r="B111" t="s">
        <v>66</v>
      </c>
      <c r="C111" t="s">
        <v>127</v>
      </c>
      <c r="D111" t="s">
        <v>99</v>
      </c>
    </row>
    <row r="112" spans="1:4" ht="12.75">
      <c r="A112" t="s">
        <v>100</v>
      </c>
      <c r="B112" t="s">
        <v>79</v>
      </c>
      <c r="C112" t="s">
        <v>83</v>
      </c>
      <c r="D112" t="s">
        <v>128</v>
      </c>
    </row>
    <row r="114" spans="1:4" ht="12.75">
      <c r="A114" t="s">
        <v>126</v>
      </c>
      <c r="B114" t="s">
        <v>66</v>
      </c>
      <c r="C114" t="s">
        <v>127</v>
      </c>
      <c r="D114" t="s">
        <v>99</v>
      </c>
    </row>
    <row r="115" spans="1:4" ht="12.75">
      <c r="A115" t="s">
        <v>100</v>
      </c>
      <c r="B115" t="s">
        <v>79</v>
      </c>
      <c r="C115" t="s">
        <v>71</v>
      </c>
      <c r="D115" t="s">
        <v>128</v>
      </c>
    </row>
    <row r="117" spans="1:4" ht="12.75">
      <c r="A117" t="s">
        <v>126</v>
      </c>
      <c r="B117" t="s">
        <v>66</v>
      </c>
      <c r="C117" t="s">
        <v>127</v>
      </c>
      <c r="D117" t="s">
        <v>87</v>
      </c>
    </row>
    <row r="118" spans="1:4" ht="12.75">
      <c r="A118" t="s">
        <v>100</v>
      </c>
      <c r="B118" t="s">
        <v>79</v>
      </c>
      <c r="C118" t="s">
        <v>90</v>
      </c>
      <c r="D118" t="s">
        <v>128</v>
      </c>
    </row>
    <row r="120" spans="1:4" ht="12.75">
      <c r="A120" t="s">
        <v>126</v>
      </c>
      <c r="B120" t="s">
        <v>66</v>
      </c>
      <c r="C120" t="s">
        <v>76</v>
      </c>
      <c r="D120" t="s">
        <v>87</v>
      </c>
    </row>
    <row r="121" spans="1:4" ht="12.75">
      <c r="A121" t="s">
        <v>88</v>
      </c>
      <c r="B121" t="s">
        <v>79</v>
      </c>
      <c r="C121" t="s">
        <v>90</v>
      </c>
      <c r="D121" t="s">
        <v>97</v>
      </c>
    </row>
    <row r="123" spans="1:4" ht="12.75">
      <c r="A123" t="s">
        <v>126</v>
      </c>
      <c r="B123" t="s">
        <v>66</v>
      </c>
      <c r="C123" t="s">
        <v>76</v>
      </c>
      <c r="D123" t="s">
        <v>99</v>
      </c>
    </row>
    <row r="124" spans="1:4" ht="12.75">
      <c r="A124" t="s">
        <v>100</v>
      </c>
      <c r="B124" t="s">
        <v>89</v>
      </c>
      <c r="C124" t="s">
        <v>73</v>
      </c>
      <c r="D124" t="s">
        <v>72</v>
      </c>
    </row>
    <row r="126" spans="1:4" ht="12.75">
      <c r="A126" t="s">
        <v>126</v>
      </c>
      <c r="B126" t="s">
        <v>82</v>
      </c>
      <c r="C126" t="s">
        <v>67</v>
      </c>
      <c r="D126" t="s">
        <v>74</v>
      </c>
    </row>
    <row r="127" spans="1:4" ht="12.75">
      <c r="A127" t="s">
        <v>69</v>
      </c>
      <c r="B127" t="s">
        <v>113</v>
      </c>
      <c r="C127" t="s">
        <v>129</v>
      </c>
      <c r="D127" t="s">
        <v>97</v>
      </c>
    </row>
    <row r="129" spans="1:4" ht="12.75">
      <c r="A129" t="s">
        <v>126</v>
      </c>
      <c r="B129" t="s">
        <v>82</v>
      </c>
      <c r="C129" t="s">
        <v>67</v>
      </c>
      <c r="D129" t="s">
        <v>99</v>
      </c>
    </row>
    <row r="130" spans="1:4" ht="12.75">
      <c r="A130" t="s">
        <v>69</v>
      </c>
      <c r="B130" t="s">
        <v>104</v>
      </c>
      <c r="C130" t="s">
        <v>73</v>
      </c>
      <c r="D130" t="s">
        <v>81</v>
      </c>
    </row>
    <row r="132" spans="1:4" ht="12.75">
      <c r="A132" t="s">
        <v>126</v>
      </c>
      <c r="B132" t="s">
        <v>82</v>
      </c>
      <c r="C132" t="s">
        <v>76</v>
      </c>
      <c r="D132" t="s">
        <v>99</v>
      </c>
    </row>
    <row r="133" spans="1:4" ht="12.75">
      <c r="A133" t="s">
        <v>75</v>
      </c>
      <c r="B133" t="s">
        <v>104</v>
      </c>
      <c r="C133" t="s">
        <v>112</v>
      </c>
      <c r="D133" t="s">
        <v>81</v>
      </c>
    </row>
    <row r="135" spans="1:4" ht="12.75">
      <c r="A135" t="s">
        <v>126</v>
      </c>
      <c r="B135" t="s">
        <v>82</v>
      </c>
      <c r="C135" t="s">
        <v>95</v>
      </c>
      <c r="D135" t="s">
        <v>99</v>
      </c>
    </row>
    <row r="136" spans="1:4" ht="12.75">
      <c r="A136" t="s">
        <v>100</v>
      </c>
      <c r="B136" t="s">
        <v>104</v>
      </c>
      <c r="C136" t="s">
        <v>129</v>
      </c>
      <c r="D136" t="s">
        <v>97</v>
      </c>
    </row>
    <row r="138" spans="1:4" ht="12.75">
      <c r="A138" t="s">
        <v>126</v>
      </c>
      <c r="B138" t="s">
        <v>101</v>
      </c>
      <c r="C138" t="s">
        <v>102</v>
      </c>
      <c r="D138" t="s">
        <v>99</v>
      </c>
    </row>
    <row r="139" spans="1:4" ht="12.75">
      <c r="A139" t="s">
        <v>117</v>
      </c>
      <c r="B139" t="s">
        <v>89</v>
      </c>
      <c r="C139" t="s">
        <v>71</v>
      </c>
      <c r="D139" t="s">
        <v>119</v>
      </c>
    </row>
    <row r="141" spans="1:4" ht="12.75">
      <c r="A141" t="s">
        <v>126</v>
      </c>
      <c r="B141" t="s">
        <v>101</v>
      </c>
      <c r="C141" t="s">
        <v>102</v>
      </c>
      <c r="D141" t="s">
        <v>99</v>
      </c>
    </row>
    <row r="142" spans="1:4" ht="12.75">
      <c r="A142" t="s">
        <v>117</v>
      </c>
      <c r="B142" t="s">
        <v>104</v>
      </c>
      <c r="C142" t="s">
        <v>73</v>
      </c>
      <c r="D142" t="s">
        <v>119</v>
      </c>
    </row>
    <row r="144" spans="1:4" ht="12.75">
      <c r="A144" t="s">
        <v>126</v>
      </c>
      <c r="B144" t="s">
        <v>85</v>
      </c>
      <c r="C144" t="s">
        <v>67</v>
      </c>
      <c r="D144" t="s">
        <v>116</v>
      </c>
    </row>
    <row r="145" spans="1:4" ht="12.75">
      <c r="A145" t="s">
        <v>100</v>
      </c>
      <c r="B145" t="s">
        <v>79</v>
      </c>
      <c r="C145" t="s">
        <v>71</v>
      </c>
      <c r="D145" t="s">
        <v>94</v>
      </c>
    </row>
    <row r="147" spans="1:4" ht="12.75">
      <c r="A147" t="s">
        <v>130</v>
      </c>
      <c r="B147" t="s">
        <v>82</v>
      </c>
      <c r="C147" t="s">
        <v>95</v>
      </c>
      <c r="D147" t="s">
        <v>99</v>
      </c>
    </row>
    <row r="148" spans="1:4" ht="12.75">
      <c r="A148" t="s">
        <v>75</v>
      </c>
      <c r="B148" t="s">
        <v>113</v>
      </c>
      <c r="C148" t="s">
        <v>71</v>
      </c>
      <c r="D148" t="s">
        <v>97</v>
      </c>
    </row>
    <row r="150" spans="1:4" ht="12.75">
      <c r="A150" t="s">
        <v>130</v>
      </c>
      <c r="B150" t="s">
        <v>82</v>
      </c>
      <c r="C150" t="s">
        <v>95</v>
      </c>
      <c r="D150" t="s">
        <v>99</v>
      </c>
    </row>
    <row r="151" spans="1:4" ht="12.75">
      <c r="A151" t="s">
        <v>75</v>
      </c>
      <c r="B151" t="s">
        <v>89</v>
      </c>
      <c r="C151" t="s">
        <v>112</v>
      </c>
      <c r="D151" t="s">
        <v>97</v>
      </c>
    </row>
    <row r="153" spans="1:4" ht="12.75">
      <c r="A153" t="s">
        <v>130</v>
      </c>
      <c r="B153" t="s">
        <v>82</v>
      </c>
      <c r="C153" t="s">
        <v>80</v>
      </c>
      <c r="D153" t="s">
        <v>99</v>
      </c>
    </row>
    <row r="154" spans="1:4" ht="12.75">
      <c r="A154" t="s">
        <v>117</v>
      </c>
      <c r="B154" t="s">
        <v>113</v>
      </c>
      <c r="C154" t="s">
        <v>73</v>
      </c>
      <c r="D154" t="s">
        <v>81</v>
      </c>
    </row>
    <row r="156" spans="1:4" ht="12.75">
      <c r="A156" t="s">
        <v>130</v>
      </c>
      <c r="B156" t="s">
        <v>82</v>
      </c>
      <c r="C156" t="s">
        <v>127</v>
      </c>
      <c r="D156" t="s">
        <v>99</v>
      </c>
    </row>
    <row r="157" spans="1:4" ht="12.75">
      <c r="A157" t="s">
        <v>117</v>
      </c>
      <c r="B157" t="s">
        <v>113</v>
      </c>
      <c r="C157" t="s">
        <v>83</v>
      </c>
      <c r="D157" t="s">
        <v>128</v>
      </c>
    </row>
    <row r="159" spans="1:4" ht="12.75">
      <c r="A159" t="s">
        <v>130</v>
      </c>
      <c r="B159" t="s">
        <v>66</v>
      </c>
      <c r="C159" t="s">
        <v>127</v>
      </c>
      <c r="D159" t="s">
        <v>99</v>
      </c>
    </row>
    <row r="160" spans="1:4" ht="12.75">
      <c r="A160" t="s">
        <v>75</v>
      </c>
      <c r="B160" t="s">
        <v>79</v>
      </c>
      <c r="C160" t="s">
        <v>71</v>
      </c>
      <c r="D160" t="s">
        <v>128</v>
      </c>
    </row>
    <row r="162" spans="1:4" ht="12.75">
      <c r="A162" t="s">
        <v>130</v>
      </c>
      <c r="B162" t="s">
        <v>77</v>
      </c>
      <c r="C162" t="s">
        <v>67</v>
      </c>
      <c r="D162" t="s">
        <v>99</v>
      </c>
    </row>
    <row r="163" spans="1:4" ht="12.75">
      <c r="A163" t="s">
        <v>75</v>
      </c>
      <c r="B163" t="s">
        <v>79</v>
      </c>
      <c r="C163" t="s">
        <v>71</v>
      </c>
      <c r="D163" t="s">
        <v>97</v>
      </c>
    </row>
    <row r="165" spans="1:4" ht="12.75">
      <c r="A165" t="s">
        <v>130</v>
      </c>
      <c r="B165" t="s">
        <v>98</v>
      </c>
      <c r="C165" t="s">
        <v>76</v>
      </c>
      <c r="D165" t="s">
        <v>99</v>
      </c>
    </row>
    <row r="166" spans="1:4" ht="12.75">
      <c r="A166" t="s">
        <v>117</v>
      </c>
      <c r="B166" t="s">
        <v>79</v>
      </c>
      <c r="C166" t="s">
        <v>129</v>
      </c>
      <c r="D166" t="s">
        <v>72</v>
      </c>
    </row>
  </sheetData>
  <sheetProtection sheet="1" objects="1" scenarios="1"/>
  <mergeCells count="4">
    <mergeCell ref="A1:D1"/>
    <mergeCell ref="A24:D24"/>
    <mergeCell ref="A53:D53"/>
    <mergeCell ref="A91:D9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Stout</dc:creator>
  <cp:keywords/>
  <dc:description/>
  <cp:lastModifiedBy>Tony Stout</cp:lastModifiedBy>
  <dcterms:created xsi:type="dcterms:W3CDTF">2005-01-15T19:13:50Z</dcterms:created>
  <dcterms:modified xsi:type="dcterms:W3CDTF">2009-01-15T23:41:37Z</dcterms:modified>
  <cp:category/>
  <cp:version/>
  <cp:contentType/>
  <cp:contentStatus/>
</cp:coreProperties>
</file>